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6" windowHeight="8220" activeTab="0"/>
  </bookViews>
  <sheets>
    <sheet name="ventilation" sheetId="1" r:id="rId1"/>
    <sheet name="data" sheetId="2" r:id="rId2"/>
  </sheets>
  <definedNames>
    <definedName name="_xlnm.Print_Area" localSheetId="0">'ventilation'!$B$2:$K$62</definedName>
  </definedNames>
  <calcPr fullCalcOnLoad="1"/>
</workbook>
</file>

<file path=xl/sharedStrings.xml><?xml version="1.0" encoding="utf-8"?>
<sst xmlns="http://schemas.openxmlformats.org/spreadsheetml/2006/main" count="84" uniqueCount="73">
  <si>
    <t>leeftijd</t>
  </si>
  <si>
    <t>gewicht (gr)</t>
  </si>
  <si>
    <t>warmteproductie /24, u</t>
  </si>
  <si>
    <t>C02 prod (lit/24 u)</t>
  </si>
  <si>
    <t>warmteproductie / u</t>
  </si>
  <si>
    <t>C02 prod (lit / u)</t>
  </si>
  <si>
    <t>warmteproductie / u / kg</t>
  </si>
  <si>
    <t>CO2 prod (l / u / kg)</t>
  </si>
  <si>
    <t>hp kJ/uur</t>
  </si>
  <si>
    <t>co2 (gr/dier/uur)</t>
  </si>
  <si>
    <t>hp Watt (J/s)</t>
  </si>
  <si>
    <t>CO2 (gr/dier/s)</t>
  </si>
  <si>
    <t>CO2-ventilatie (m²/pok/uur)</t>
  </si>
  <si>
    <t>CO2-ventilatie (m²/kg/uur)</t>
  </si>
  <si>
    <t>* de blauwe cijfers zijn gegevens die we verkregen van de KULeuven (in 1999)</t>
  </si>
  <si>
    <t>1 mol CO2 = 22.4 liter</t>
  </si>
  <si>
    <t>* de rode cijfers zijn gegevens die jij nu van Johan Buysse kreeg</t>
  </si>
  <si>
    <t>1 mol CO2 = 44 g</t>
  </si>
  <si>
    <t>CO2-gehalte in de lucht 3 ppm (=0.003 g/kg)</t>
  </si>
  <si>
    <t>max toelaatbaar CO2-gehalte 3000 ppm (=3 g/kg)</t>
  </si>
  <si>
    <t>Hvent(-10)(m³/kuiken/uur)</t>
  </si>
  <si>
    <t>Vvent(m³/kuiken/uur)</t>
  </si>
  <si>
    <t>balans</t>
  </si>
  <si>
    <t>BW-d1</t>
  </si>
  <si>
    <t>latent-HP (KJ/hr)</t>
  </si>
  <si>
    <t>H2O (gr/hr)</t>
  </si>
  <si>
    <t>BW (gr)</t>
  </si>
  <si>
    <t>Temp (ºC)</t>
  </si>
  <si>
    <t>Day</t>
  </si>
  <si>
    <t>HP (KJ/hr)</t>
  </si>
  <si>
    <t>latent-HP (W)</t>
  </si>
  <si>
    <t>sensible-HP (KJ/hr)</t>
  </si>
  <si>
    <t>CO2-prod (L/chick/hr)</t>
  </si>
  <si>
    <t>CO2-outside</t>
  </si>
  <si>
    <t>V-heat (m³/kg/hr)</t>
  </si>
  <si>
    <t>V-CO2 (m³/kg/hr)</t>
  </si>
  <si>
    <t>Barn water content (kg/kg dry air)</t>
  </si>
  <si>
    <t>Outside water content (kg/kg dry air)</t>
  </si>
  <si>
    <t>V (m³/chick/hr)</t>
  </si>
  <si>
    <t>g</t>
  </si>
  <si>
    <t>T-outside</t>
  </si>
  <si>
    <t>RH-outside</t>
  </si>
  <si>
    <t>%</t>
  </si>
  <si>
    <t>ppm</t>
  </si>
  <si>
    <t>CO2-max-inside</t>
  </si>
  <si>
    <t>m</t>
  </si>
  <si>
    <t>corrected Archimedes number</t>
  </si>
  <si>
    <t>stocking density</t>
  </si>
  <si>
    <t>k-value</t>
  </si>
  <si>
    <t>side height</t>
  </si>
  <si>
    <t>central height</t>
  </si>
  <si>
    <t>width</t>
  </si>
  <si>
    <t>length</t>
  </si>
  <si>
    <t>chicks placed</t>
  </si>
  <si>
    <t>#</t>
  </si>
  <si>
    <t>Climate</t>
  </si>
  <si>
    <t>Chicks</t>
  </si>
  <si>
    <t>surface front</t>
  </si>
  <si>
    <t>surface side</t>
  </si>
  <si>
    <t>surface roof</t>
  </si>
  <si>
    <t>surface floor</t>
  </si>
  <si>
    <t>units</t>
  </si>
  <si>
    <t>value</t>
  </si>
  <si>
    <t>RH (%)</t>
  </si>
  <si>
    <r>
      <t>#/m</t>
    </r>
    <r>
      <rPr>
        <i/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</si>
  <si>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C</t>
    </r>
  </si>
  <si>
    <r>
      <t>m</t>
    </r>
    <r>
      <rPr>
        <i/>
        <vertAlign val="superscript"/>
        <sz val="10"/>
        <rFont val="Arial"/>
        <family val="2"/>
      </rPr>
      <t>2</t>
    </r>
  </si>
  <si>
    <t>d</t>
  </si>
  <si>
    <t>V-required (m³/kg/hr)</t>
  </si>
  <si>
    <t>House dimensions</t>
  </si>
  <si>
    <r>
      <t>C02-ventilation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/hr/chick)</t>
    </r>
  </si>
  <si>
    <r>
      <t>V-H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O (m³/kg/hr)</t>
    </r>
  </si>
  <si>
    <r>
      <t>V-total (m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/hr)</t>
    </r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</si>
</sst>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0.0"/>
    <numFmt numFmtId="195" formatCode="0.000"/>
    <numFmt numFmtId="196" formatCode="0.0000"/>
    <numFmt numFmtId="197" formatCode="0.00000"/>
    <numFmt numFmtId="198" formatCode="0.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4" fontId="5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5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55" fillId="4" borderId="0" xfId="0" applyNumberFormat="1" applyFont="1" applyFill="1" applyBorder="1" applyAlignment="1">
      <alignment horizontal="center"/>
    </xf>
    <xf numFmtId="194" fontId="0" fillId="4" borderId="0" xfId="0" applyNumberFormat="1" applyFill="1" applyBorder="1" applyAlignment="1">
      <alignment horizontal="center"/>
    </xf>
    <xf numFmtId="0" fontId="56" fillId="33" borderId="0" xfId="0" applyFont="1" applyFill="1" applyAlignment="1">
      <alignment/>
    </xf>
    <xf numFmtId="1" fontId="5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195" fontId="57" fillId="33" borderId="0" xfId="0" applyNumberFormat="1" applyFont="1" applyFill="1" applyAlignment="1">
      <alignment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194" fontId="57" fillId="33" borderId="0" xfId="0" applyNumberFormat="1" applyFont="1" applyFill="1" applyAlignment="1">
      <alignment/>
    </xf>
    <xf numFmtId="195" fontId="56" fillId="33" borderId="0" xfId="0" applyNumberFormat="1" applyFont="1" applyFill="1" applyAlignment="1">
      <alignment/>
    </xf>
    <xf numFmtId="195" fontId="58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/>
    </xf>
    <xf numFmtId="194" fontId="56" fillId="33" borderId="0" xfId="0" applyNumberFormat="1" applyFont="1" applyFill="1" applyAlignment="1">
      <alignment horizontal="center"/>
    </xf>
    <xf numFmtId="2" fontId="56" fillId="33" borderId="0" xfId="0" applyNumberFormat="1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198" fontId="5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-0.01175"/>
          <c:w val="0.823"/>
          <c:h val="0.943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ventilation!$D$18</c:f>
              <c:strCache>
                <c:ptCount val="1"/>
                <c:pt idx="0">
                  <c:v>Temp (ºC)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ventilation!$D$19:$D$61</c:f>
              <c:numCache/>
            </c:numRef>
          </c:yVal>
          <c:smooth val="1"/>
        </c:ser>
        <c:axId val="52768416"/>
        <c:axId val="5153697"/>
      </c:scatterChart>
      <c:scatterChart>
        <c:scatterStyle val="smoothMarker"/>
        <c:varyColors val="0"/>
        <c:ser>
          <c:idx val="2"/>
          <c:order val="1"/>
          <c:tx>
            <c:strRef>
              <c:f>ventilation!$E$18</c:f>
              <c:strCache>
                <c:ptCount val="1"/>
                <c:pt idx="0">
                  <c:v>RH (%)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ventilation!$E$19:$E$61</c:f>
              <c:numCache/>
            </c:numRef>
          </c:yVal>
          <c:smooth val="1"/>
        </c:ser>
        <c:axId val="46383274"/>
        <c:axId val="14796283"/>
      </c:scatterChart>
      <c:valAx>
        <c:axId val="5276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(d)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97"/>
        <c:crosses val="autoZero"/>
        <c:crossBetween val="midCat"/>
        <c:dispUnits/>
      </c:valAx>
      <c:valAx>
        <c:axId val="515369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(ºC)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 val="autoZero"/>
        <c:crossBetween val="midCat"/>
        <c:dispUnits/>
        <c:majorUnit val="10"/>
      </c:valAx>
      <c:valAx>
        <c:axId val="46383274"/>
        <c:scaling>
          <c:orientation val="minMax"/>
        </c:scaling>
        <c:axPos val="b"/>
        <c:delete val="1"/>
        <c:majorTickMark val="out"/>
        <c:minorTickMark val="none"/>
        <c:tickLblPos val="nextTo"/>
        <c:crossAx val="14796283"/>
        <c:crosses val="max"/>
        <c:crossBetween val="midCat"/>
        <c:dispUnits/>
      </c:valAx>
      <c:valAx>
        <c:axId val="147962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Relative Huumidity (%)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3274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325"/>
          <c:y val="0.066"/>
          <c:w val="0.4562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-0.016"/>
          <c:w val="0.743"/>
          <c:h val="0.9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data!$K$5</c:f>
              <c:strCache>
                <c:ptCount val="1"/>
                <c:pt idx="0">
                  <c:v>V-CO2 (m³/kg/hr)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data!$K$6:$K$48</c:f>
              <c:numCache>
                <c:ptCount val="43"/>
                <c:pt idx="0">
                  <c:v>4.544920634920635</c:v>
                </c:pt>
                <c:pt idx="1">
                  <c:v>3.883266289229522</c:v>
                </c:pt>
                <c:pt idx="2">
                  <c:v>3.364138828847188</c:v>
                </c:pt>
                <c:pt idx="3">
                  <c:v>2.953403017040181</c:v>
                </c:pt>
                <c:pt idx="4">
                  <c:v>2.6258033136886785</c:v>
                </c:pt>
                <c:pt idx="5">
                  <c:v>2.3624917828455465</c:v>
                </c:pt>
                <c:pt idx="6">
                  <c:v>2.149285018297052</c:v>
                </c:pt>
                <c:pt idx="7">
                  <c:v>1.9754240851379765</c:v>
                </c:pt>
                <c:pt idx="8">
                  <c:v>1.8326846955453837</c:v>
                </c:pt>
                <c:pt idx="9">
                  <c:v>1.71473338223036</c:v>
                </c:pt>
                <c:pt idx="10">
                  <c:v>1.6166579197334445</c:v>
                </c:pt>
                <c:pt idx="11">
                  <c:v>1.5346221803978948</c:v>
                </c:pt>
                <c:pt idx="12">
                  <c:v>1.465610554017971</c:v>
                </c:pt>
                <c:pt idx="13">
                  <c:v>1.4072373239928264</c:v>
                </c:pt>
                <c:pt idx="14">
                  <c:v>1.357603500691557</c:v>
                </c:pt>
                <c:pt idx="15">
                  <c:v>1.315188573966911</c:v>
                </c:pt>
                <c:pt idx="16">
                  <c:v>1.278768136140032</c:v>
                </c:pt>
                <c:pt idx="17">
                  <c:v>1.2473507991413815</c:v>
                </c:pt>
                <c:pt idx="18">
                  <c:v>1.2201295938155277</c:v>
                </c:pt>
                <c:pt idx="19">
                  <c:v>1.1964443071916637</c:v>
                </c:pt>
                <c:pt idx="20">
                  <c:v>1.175752130651315</c:v>
                </c:pt>
                <c:pt idx="21">
                  <c:v>1.1576046597053056</c:v>
                </c:pt>
                <c:pt idx="22">
                  <c:v>1.1416297753876512</c:v>
                </c:pt>
                <c:pt idx="23">
                  <c:v>1.127517297985486</c:v>
                </c:pt>
                <c:pt idx="24">
                  <c:v>1.115007571321466</c:v>
                </c:pt>
                <c:pt idx="25">
                  <c:v>1.103882335318776</c:v>
                </c:pt>
                <c:pt idx="26">
                  <c:v>1.0939573942181187</c:v>
                </c:pt>
                <c:pt idx="27">
                  <c:v>1.085076700656896</c:v>
                </c:pt>
                <c:pt idx="28">
                  <c:v>1.0771075613601933</c:v>
                </c:pt>
                <c:pt idx="29">
                  <c:v>1.06993673536791</c:v>
                </c:pt>
                <c:pt idx="30">
                  <c:v>1.0634672456270209</c:v>
                </c:pt>
                <c:pt idx="31">
                  <c:v>1.0576157631743537</c:v>
                </c:pt>
                <c:pt idx="32">
                  <c:v>1.052310452815565</c:v>
                </c:pt>
                <c:pt idx="33">
                  <c:v>1.047489192253118</c:v>
                </c:pt>
                <c:pt idx="34">
                  <c:v>1.043098094591598</c:v>
                </c:pt>
                <c:pt idx="35">
                  <c:v>1.039090278228906</c:v>
                </c:pt>
                <c:pt idx="36">
                  <c:v>1.035424839216976</c:v>
                </c:pt>
                <c:pt idx="37">
                  <c:v>1.0320659899224847</c:v>
                </c:pt>
                <c:pt idx="38">
                  <c:v>1.0289823347532772</c:v>
                </c:pt>
                <c:pt idx="39">
                  <c:v>1.0261462592364026</c:v>
                </c:pt>
                <c:pt idx="40">
                  <c:v>1.023533413143788</c:v>
                </c:pt>
                <c:pt idx="41">
                  <c:v>1.0211222718978692</c:v>
                </c:pt>
                <c:pt idx="42">
                  <c:v>1.0188937633350945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data!$P$5</c:f>
              <c:strCache>
                <c:ptCount val="1"/>
                <c:pt idx="0">
                  <c:v>V-H2O (m³/kg/hr)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data!$P$6:$P$48</c:f>
              <c:numCache>
                <c:ptCount val="43"/>
                <c:pt idx="0">
                  <c:v>0.7338166786677363</c:v>
                </c:pt>
                <c:pt idx="1">
                  <c:v>0.5632177948636721</c:v>
                </c:pt>
                <c:pt idx="2">
                  <c:v>1.0522062749492724</c:v>
                </c:pt>
                <c:pt idx="3">
                  <c:v>1.400064375344752</c:v>
                </c:pt>
                <c:pt idx="4">
                  <c:v>1.6487513736143198</c:v>
                </c:pt>
                <c:pt idx="5">
                  <c:v>1.8281411026413712</c:v>
                </c:pt>
                <c:pt idx="6">
                  <c:v>1.9597082680261</c:v>
                </c:pt>
                <c:pt idx="7">
                  <c:v>2.059068866031015</c:v>
                </c:pt>
                <c:pt idx="8">
                  <c:v>2.055565835897449</c:v>
                </c:pt>
                <c:pt idx="9">
                  <c:v>2.033362099967341</c:v>
                </c:pt>
                <c:pt idx="10">
                  <c:v>1.9995847802883961</c:v>
                </c:pt>
                <c:pt idx="11">
                  <c:v>1.9592321451858874</c:v>
                </c:pt>
                <c:pt idx="12">
                  <c:v>1.9157994005867354</c:v>
                </c:pt>
                <c:pt idx="13">
                  <c:v>1.871718846103393</c:v>
                </c:pt>
                <c:pt idx="14">
                  <c:v>1.8286709965116983</c:v>
                </c:pt>
                <c:pt idx="15">
                  <c:v>1.7878055107227642</c:v>
                </c:pt>
                <c:pt idx="16">
                  <c:v>1.725134581103856</c:v>
                </c:pt>
                <c:pt idx="17">
                  <c:v>1.6650040077531403</c:v>
                </c:pt>
                <c:pt idx="18">
                  <c:v>1.609146909443655</c:v>
                </c:pt>
                <c:pt idx="19">
                  <c:v>1.5462507086538637</c:v>
                </c:pt>
                <c:pt idx="20">
                  <c:v>1.4881644908283544</c:v>
                </c:pt>
                <c:pt idx="21">
                  <c:v>1.434677893168521</c:v>
                </c:pt>
                <c:pt idx="22">
                  <c:v>1.3855502100759103</c:v>
                </c:pt>
                <c:pt idx="23">
                  <c:v>1.3405273937654767</c:v>
                </c:pt>
                <c:pt idx="24">
                  <c:v>1.2993535099623115</c:v>
                </c:pt>
                <c:pt idx="25">
                  <c:v>1.2617782860112892</c:v>
                </c:pt>
                <c:pt idx="26">
                  <c:v>1.2275619149626136</c:v>
                </c:pt>
                <c:pt idx="27">
                  <c:v>1.1964779435225086</c:v>
                </c:pt>
                <c:pt idx="28">
                  <c:v>1.1736640077219196</c:v>
                </c:pt>
                <c:pt idx="29">
                  <c:v>1.1719461879770345</c:v>
                </c:pt>
                <c:pt idx="30">
                  <c:v>1.1723156945508733</c:v>
                </c:pt>
                <c:pt idx="31">
                  <c:v>1.1747593509098244</c:v>
                </c:pt>
                <c:pt idx="32">
                  <c:v>1.1792724810815338</c:v>
                </c:pt>
                <c:pt idx="33">
                  <c:v>1.1551278739879107</c:v>
                </c:pt>
                <c:pt idx="34">
                  <c:v>1.1328822670528167</c:v>
                </c:pt>
                <c:pt idx="35">
                  <c:v>1.1124031608436418</c:v>
                </c:pt>
                <c:pt idx="36">
                  <c:v>1.0935683796418396</c:v>
                </c:pt>
                <c:pt idx="37">
                  <c:v>1.0762653588616093</c:v>
                </c:pt>
                <c:pt idx="38">
                  <c:v>1.0603904396695498</c:v>
                </c:pt>
                <c:pt idx="39">
                  <c:v>1.0458481856375674</c:v>
                </c:pt>
                <c:pt idx="40">
                  <c:v>1.0325507308484585</c:v>
                </c:pt>
                <c:pt idx="41">
                  <c:v>1.0204171650065081</c:v>
                </c:pt>
                <c:pt idx="42">
                  <c:v>1.0093729583698312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data!$R$5</c:f>
              <c:strCache>
                <c:ptCount val="1"/>
                <c:pt idx="0">
                  <c:v>V-required (m³/kg/hr)</c:v>
                </c:pt>
              </c:strCache>
            </c:strRef>
          </c:tx>
          <c:spPr>
            <a:ln w="254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data!$R$6:$R$48</c:f>
              <c:numCache>
                <c:ptCount val="43"/>
                <c:pt idx="0">
                  <c:v>4.544920634920635</c:v>
                </c:pt>
                <c:pt idx="1">
                  <c:v>3.883266289229522</c:v>
                </c:pt>
                <c:pt idx="2">
                  <c:v>3.364138828847188</c:v>
                </c:pt>
                <c:pt idx="3">
                  <c:v>2.953403017040181</c:v>
                </c:pt>
                <c:pt idx="4">
                  <c:v>2.6258033136886785</c:v>
                </c:pt>
                <c:pt idx="5">
                  <c:v>2.3624917828455465</c:v>
                </c:pt>
                <c:pt idx="6">
                  <c:v>2.149285018297052</c:v>
                </c:pt>
                <c:pt idx="7">
                  <c:v>2.059068866031015</c:v>
                </c:pt>
                <c:pt idx="8">
                  <c:v>2.055565835897449</c:v>
                </c:pt>
                <c:pt idx="9">
                  <c:v>2.033362099967341</c:v>
                </c:pt>
                <c:pt idx="10">
                  <c:v>1.9995847802883961</c:v>
                </c:pt>
                <c:pt idx="11">
                  <c:v>1.9592321451858874</c:v>
                </c:pt>
                <c:pt idx="12">
                  <c:v>1.9157994005867354</c:v>
                </c:pt>
                <c:pt idx="13">
                  <c:v>1.871718846103393</c:v>
                </c:pt>
                <c:pt idx="14">
                  <c:v>1.8286709965116983</c:v>
                </c:pt>
                <c:pt idx="15">
                  <c:v>1.7878055107227642</c:v>
                </c:pt>
                <c:pt idx="16">
                  <c:v>1.725134581103856</c:v>
                </c:pt>
                <c:pt idx="17">
                  <c:v>1.6650040077531403</c:v>
                </c:pt>
                <c:pt idx="18">
                  <c:v>1.609146909443655</c:v>
                </c:pt>
                <c:pt idx="19">
                  <c:v>1.5462507086538637</c:v>
                </c:pt>
                <c:pt idx="20">
                  <c:v>1.4881644908283544</c:v>
                </c:pt>
                <c:pt idx="21">
                  <c:v>1.434677893168521</c:v>
                </c:pt>
                <c:pt idx="22">
                  <c:v>1.3855502100759103</c:v>
                </c:pt>
                <c:pt idx="23">
                  <c:v>1.3405273937654767</c:v>
                </c:pt>
                <c:pt idx="24">
                  <c:v>1.2993535099623115</c:v>
                </c:pt>
                <c:pt idx="25">
                  <c:v>1.2617782860112892</c:v>
                </c:pt>
                <c:pt idx="26">
                  <c:v>1.2275619149626136</c:v>
                </c:pt>
                <c:pt idx="27">
                  <c:v>1.1964779435225086</c:v>
                </c:pt>
                <c:pt idx="28">
                  <c:v>1.1736640077219196</c:v>
                </c:pt>
                <c:pt idx="29">
                  <c:v>1.1719461879770345</c:v>
                </c:pt>
                <c:pt idx="30">
                  <c:v>1.1723156945508733</c:v>
                </c:pt>
                <c:pt idx="31">
                  <c:v>1.1747593509098244</c:v>
                </c:pt>
                <c:pt idx="32">
                  <c:v>1.1792724810815338</c:v>
                </c:pt>
                <c:pt idx="33">
                  <c:v>1.1551278739879107</c:v>
                </c:pt>
                <c:pt idx="34">
                  <c:v>1.1328822670528167</c:v>
                </c:pt>
                <c:pt idx="35">
                  <c:v>1.1124031608436418</c:v>
                </c:pt>
                <c:pt idx="36">
                  <c:v>1.0935683796418396</c:v>
                </c:pt>
                <c:pt idx="37">
                  <c:v>1.0762653588616093</c:v>
                </c:pt>
                <c:pt idx="38">
                  <c:v>1.0603904396695498</c:v>
                </c:pt>
                <c:pt idx="39">
                  <c:v>1.0458481856375674</c:v>
                </c:pt>
                <c:pt idx="40">
                  <c:v>1.0325507308484585</c:v>
                </c:pt>
                <c:pt idx="41">
                  <c:v>1.0211222718978692</c:v>
                </c:pt>
                <c:pt idx="42">
                  <c:v>1.0188937633350945</c:v>
                </c:pt>
              </c:numCache>
            </c:numRef>
          </c:yVal>
          <c:smooth val="1"/>
        </c:ser>
        <c:axId val="66057684"/>
        <c:axId val="57648245"/>
      </c:scatterChart>
      <c:val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(d)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48245"/>
        <c:crosses val="autoZero"/>
        <c:crossBetween val="midCat"/>
        <c:dispUnits/>
      </c:valAx>
      <c:valAx>
        <c:axId val="576482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Ventilation rate (m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.kg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.hr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76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525"/>
          <c:y val="0.08775"/>
          <c:w val="0.4375"/>
          <c:h val="0.4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-0.02175"/>
          <c:w val="0.83925"/>
          <c:h val="0.969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BW (gr)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data!$C$6:$C$48</c:f>
              <c:numCache>
                <c:ptCount val="43"/>
                <c:pt idx="0">
                  <c:v>40</c:v>
                </c:pt>
                <c:pt idx="1">
                  <c:v>49.042685454434256</c:v>
                </c:pt>
                <c:pt idx="2">
                  <c:v>59.61694552154821</c:v>
                </c:pt>
                <c:pt idx="3">
                  <c:v>71.87910544290561</c:v>
                </c:pt>
                <c:pt idx="4">
                  <c:v>85.98500958128399</c:v>
                </c:pt>
                <c:pt idx="5">
                  <c:v>102.08768321244548</c:v>
                </c:pt>
                <c:pt idx="6">
                  <c:v>120.33496528107261</c:v>
                </c:pt>
                <c:pt idx="7">
                  <c:v>140.86717376393256</c:v>
                </c:pt>
                <c:pt idx="8">
                  <c:v>163.8148630244471</c:v>
                </c:pt>
                <c:pt idx="9">
                  <c:v>189.2967281178417</c:v>
                </c:pt>
                <c:pt idx="10">
                  <c:v>217.41770476551008</c:v>
                </c:pt>
                <c:pt idx="11">
                  <c:v>248.2673060705923</c:v>
                </c:pt>
                <c:pt idx="12">
                  <c:v>281.9182284320039</c:v>
                </c:pt>
                <c:pt idx="13">
                  <c:v>318.4252499698623</c:v>
                </c:pt>
                <c:pt idx="14">
                  <c:v>357.82443551673674</c:v>
                </c:pt>
                <c:pt idx="15">
                  <c:v>400.1326532294451</c:v>
                </c:pt>
                <c:pt idx="16">
                  <c:v>445.34739945250857</c:v>
                </c:pt>
                <c:pt idx="17">
                  <c:v>493.4469208700515</c:v>
                </c:pt>
                <c:pt idx="18">
                  <c:v>544.3906164038418</c:v>
                </c:pt>
                <c:pt idx="19">
                  <c:v>598.1196958708194</c:v>
                </c:pt>
                <c:pt idx="20">
                  <c:v>654.5580681614014</c:v>
                </c:pt>
                <c:pt idx="21">
                  <c:v>713.6134286424005</c:v>
                </c:pt>
                <c:pt idx="22">
                  <c:v>775.1785135812912</c:v>
                </c:pt>
                <c:pt idx="23">
                  <c:v>839.1324885502069</c:v>
                </c:pt>
                <c:pt idx="24">
                  <c:v>905.3424378890543</c:v>
                </c:pt>
                <c:pt idx="25">
                  <c:v>973.6649232595576</c:v>
                </c:pt>
                <c:pt idx="26">
                  <c:v>1043.9475809674584</c:v>
                </c:pt>
                <c:pt idx="27">
                  <c:v>1116.030729927279</c:v>
                </c:pt>
                <c:pt idx="28">
                  <c:v>1189.7489647546322</c:v>
                </c:pt>
                <c:pt idx="29">
                  <c:v>1264.9327113644556</c:v>
                </c:pt>
                <c:pt idx="30">
                  <c:v>1341.4097255107752</c:v>
                </c:pt>
                <c:pt idx="31">
                  <c:v>1419.0065178190491</c:v>
                </c:pt>
                <c:pt idx="32">
                  <c:v>1497.5496919456077</c:v>
                </c:pt>
                <c:pt idx="33">
                  <c:v>1576.8671854753907</c:v>
                </c:pt>
                <c:pt idx="34">
                  <c:v>1656.7894059797188</c:v>
                </c:pt>
                <c:pt idx="35">
                  <c:v>1737.1502572554411</c:v>
                </c:pt>
                <c:pt idx="36">
                  <c:v>1817.7880531240883</c:v>
                </c:pt>
                <c:pt idx="37">
                  <c:v>1898.5463182652243</c:v>
                </c:pt>
                <c:pt idx="38">
                  <c:v>1979.2744773831282</c:v>
                </c:pt>
                <c:pt idx="39">
                  <c:v>2059.828435559831</c:v>
                </c:pt>
                <c:pt idx="40">
                  <c:v>2140.071053937527</c:v>
                </c:pt>
                <c:pt idx="41">
                  <c:v>2219.8725259117737</c:v>
                </c:pt>
                <c:pt idx="42">
                  <c:v>2299.110659820501</c:v>
                </c:pt>
              </c:numCache>
            </c:numRef>
          </c:yVal>
          <c:smooth val="1"/>
        </c:ser>
        <c:axId val="49072158"/>
        <c:axId val="38996239"/>
      </c:scatterChart>
      <c:scatterChart>
        <c:scatterStyle val="smoothMarker"/>
        <c:varyColors val="0"/>
        <c:ser>
          <c:idx val="0"/>
          <c:order val="1"/>
          <c:tx>
            <c:strRef>
              <c:f>data!$T$5</c:f>
              <c:strCache>
                <c:ptCount val="1"/>
                <c:pt idx="0">
                  <c:v>V-total (m3/hr)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xVal>
          <c:yVal>
            <c:numRef>
              <c:f>data!$T$6:$T$48</c:f>
              <c:numCache>
                <c:ptCount val="43"/>
                <c:pt idx="0">
                  <c:v>90.8984126984127</c:v>
                </c:pt>
                <c:pt idx="1">
                  <c:v>95.22290357924578</c:v>
                </c:pt>
                <c:pt idx="2">
                  <c:v>100.2798406431539</c:v>
                </c:pt>
                <c:pt idx="3">
                  <c:v>106.14398343861336</c:v>
                </c:pt>
                <c:pt idx="4">
                  <c:v>112.88986154304413</c:v>
                </c:pt>
                <c:pt idx="5">
                  <c:v>120.59065635957084</c:v>
                </c:pt>
                <c:pt idx="6">
                  <c:v>129.31706902795264</c:v>
                </c:pt>
                <c:pt idx="7">
                  <c:v>145.02760587154728</c:v>
                </c:pt>
                <c:pt idx="8">
                  <c:v>168.3661179226369</c:v>
                </c:pt>
                <c:pt idx="9">
                  <c:v>192.4543963013207</c:v>
                </c:pt>
                <c:pt idx="10">
                  <c:v>217.37256670717494</c:v>
                </c:pt>
                <c:pt idx="11">
                  <c:v>243.20664332610392</c:v>
                </c:pt>
                <c:pt idx="12">
                  <c:v>270.04938652225377</c:v>
                </c:pt>
                <c:pt idx="13">
                  <c:v>298.0012707218876</c:v>
                </c:pt>
                <c:pt idx="14">
                  <c:v>327.1715835363135</c:v>
                </c:pt>
                <c:pt idx="15">
                  <c:v>357.6796812318614</c:v>
                </c:pt>
                <c:pt idx="16">
                  <c:v>384.1420997000975</c:v>
                </c:pt>
                <c:pt idx="17">
                  <c:v>410.7955504310412</c:v>
                </c:pt>
                <c:pt idx="18">
                  <c:v>438.0022389581842</c:v>
                </c:pt>
                <c:pt idx="19">
                  <c:v>462.42150180004404</c:v>
                </c:pt>
                <c:pt idx="20">
                  <c:v>487.0450371115016</c:v>
                </c:pt>
                <c:pt idx="21">
                  <c:v>511.9027051707219</c:v>
                </c:pt>
                <c:pt idx="22">
                  <c:v>537.024376169445</c:v>
                </c:pt>
                <c:pt idx="23">
                  <c:v>562.4400439500737</c:v>
                </c:pt>
                <c:pt idx="24">
                  <c:v>588.1799371944894</c:v>
                </c:pt>
                <c:pt idx="25">
                  <c:v>614.2746290098789</c:v>
                </c:pt>
                <c:pt idx="26">
                  <c:v>640.7551458065006</c:v>
                </c:pt>
                <c:pt idx="27">
                  <c:v>667.6530763256574</c:v>
                </c:pt>
                <c:pt idx="28">
                  <c:v>698.1827690784633</c:v>
                </c:pt>
                <c:pt idx="29">
                  <c:v>741.216534565514</c:v>
                </c:pt>
                <c:pt idx="30">
                  <c:v>786.2778370197302</c:v>
                </c:pt>
                <c:pt idx="31">
                  <c:v>833.4955879049583</c:v>
                </c:pt>
                <c:pt idx="32">
                  <c:v>883.0095703817917</c:v>
                </c:pt>
                <c:pt idx="33">
                  <c:v>910.7416197597443</c:v>
                </c:pt>
                <c:pt idx="34">
                  <c:v>938.4736691376967</c:v>
                </c:pt>
                <c:pt idx="35">
                  <c:v>966.2057185156492</c:v>
                </c:pt>
                <c:pt idx="36">
                  <c:v>993.9377678936016</c:v>
                </c:pt>
                <c:pt idx="37">
                  <c:v>1021.6698172715544</c:v>
                </c:pt>
                <c:pt idx="38">
                  <c:v>1049.401866649507</c:v>
                </c:pt>
                <c:pt idx="39">
                  <c:v>1077.1339160274592</c:v>
                </c:pt>
                <c:pt idx="40">
                  <c:v>1104.865965405412</c:v>
                </c:pt>
                <c:pt idx="41">
                  <c:v>1133.380638491346</c:v>
                </c:pt>
                <c:pt idx="42">
                  <c:v>1171.2747562541713</c:v>
                </c:pt>
              </c:numCache>
            </c:numRef>
          </c:yVal>
          <c:smooth val="1"/>
        </c:ser>
        <c:axId val="15421832"/>
        <c:axId val="4578761"/>
      </c:scatterChart>
      <c:val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(d)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6239"/>
        <c:crosses val="autoZero"/>
        <c:crossBetween val="midCat"/>
        <c:dispUnits/>
      </c:valAx>
      <c:valAx>
        <c:axId val="3899623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BW (g)</a:t>
                </a:r>
              </a:p>
            </c:rich>
          </c:tx>
          <c:layout>
            <c:manualLayout>
              <c:xMode val="factor"/>
              <c:yMode val="factor"/>
              <c:x val="-0.017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2158"/>
        <c:crosses val="autoZero"/>
        <c:crossBetween val="midCat"/>
        <c:dispUnits/>
        <c:majorUnit val="500"/>
      </c:valAx>
      <c:valAx>
        <c:axId val="15421832"/>
        <c:scaling>
          <c:orientation val="minMax"/>
        </c:scaling>
        <c:axPos val="b"/>
        <c:delete val="1"/>
        <c:majorTickMark val="out"/>
        <c:minorTickMark val="none"/>
        <c:tickLblPos val="nextTo"/>
        <c:crossAx val="4578761"/>
        <c:crosses val="max"/>
        <c:crossBetween val="midCat"/>
        <c:dispUnits/>
      </c:valAx>
      <c:valAx>
        <c:axId val="4578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ventilation (m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.hr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183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"/>
          <c:y val="0.0195"/>
          <c:w val="0.514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45</xdr:row>
      <xdr:rowOff>123825</xdr:rowOff>
    </xdr:from>
    <xdr:to>
      <xdr:col>9</xdr:col>
      <xdr:colOff>561975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905250" y="7581900"/>
        <a:ext cx="4133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18</xdr:row>
      <xdr:rowOff>0</xdr:rowOff>
    </xdr:from>
    <xdr:to>
      <xdr:col>9</xdr:col>
      <xdr:colOff>552450</xdr:colOff>
      <xdr:row>32</xdr:row>
      <xdr:rowOff>9525</xdr:rowOff>
    </xdr:to>
    <xdr:graphicFrame>
      <xdr:nvGraphicFramePr>
        <xdr:cNvPr id="2" name="Chart 1"/>
        <xdr:cNvGraphicFramePr/>
      </xdr:nvGraphicFramePr>
      <xdr:xfrm>
        <a:off x="3895725" y="3086100"/>
        <a:ext cx="41338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723900</xdr:colOff>
      <xdr:row>31</xdr:row>
      <xdr:rowOff>38100</xdr:rowOff>
    </xdr:from>
    <xdr:to>
      <xdr:col>9</xdr:col>
      <xdr:colOff>581025</xdr:colOff>
      <xdr:row>45</xdr:row>
      <xdr:rowOff>114300</xdr:rowOff>
    </xdr:to>
    <xdr:graphicFrame>
      <xdr:nvGraphicFramePr>
        <xdr:cNvPr id="3" name="Chart 4"/>
        <xdr:cNvGraphicFramePr/>
      </xdr:nvGraphicFramePr>
      <xdr:xfrm>
        <a:off x="3867150" y="5229225"/>
        <a:ext cx="41910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tabSelected="1" zoomScalePageLayoutView="0" workbookViewId="0" topLeftCell="A13">
      <selection activeCell="D6" sqref="D6"/>
    </sheetView>
  </sheetViews>
  <sheetFormatPr defaultColWidth="9.140625" defaultRowHeight="12.75"/>
  <cols>
    <col min="1" max="1" width="7.28125" style="0" customWidth="1"/>
    <col min="2" max="2" width="3.57421875" style="0" customWidth="1"/>
    <col min="3" max="3" width="23.140625" style="0" bestFit="1" customWidth="1"/>
    <col min="4" max="4" width="13.140625" style="0" customWidth="1"/>
    <col min="5" max="5" width="11.7109375" style="0" customWidth="1"/>
    <col min="7" max="7" width="25.8515625" style="0" bestFit="1" customWidth="1"/>
    <col min="11" max="11" width="2.8515625" style="0" customWidth="1"/>
  </cols>
  <sheetData>
    <row r="1" ht="13.5" thickBot="1"/>
    <row r="2" spans="2:11" ht="12.75">
      <c r="B2" s="21"/>
      <c r="C2" s="4"/>
      <c r="D2" s="4"/>
      <c r="E2" s="4"/>
      <c r="F2" s="4"/>
      <c r="G2" s="4"/>
      <c r="H2" s="4"/>
      <c r="I2" s="4"/>
      <c r="J2" s="4"/>
      <c r="K2" s="5"/>
    </row>
    <row r="3" spans="2:11" ht="12.75">
      <c r="B3" s="10"/>
      <c r="C3" s="30" t="s">
        <v>56</v>
      </c>
      <c r="D3" s="31" t="s">
        <v>62</v>
      </c>
      <c r="E3" s="32" t="s">
        <v>61</v>
      </c>
      <c r="F3" s="7"/>
      <c r="G3" s="30" t="s">
        <v>69</v>
      </c>
      <c r="H3" s="31" t="s">
        <v>62</v>
      </c>
      <c r="I3" s="32" t="s">
        <v>61</v>
      </c>
      <c r="J3" s="7"/>
      <c r="K3" s="9"/>
    </row>
    <row r="4" spans="2:11" ht="12.75">
      <c r="B4" s="10"/>
      <c r="C4" s="33" t="s">
        <v>23</v>
      </c>
      <c r="D4" s="34">
        <v>40</v>
      </c>
      <c r="E4" s="35" t="s">
        <v>39</v>
      </c>
      <c r="F4" s="7"/>
      <c r="G4" s="33" t="s">
        <v>51</v>
      </c>
      <c r="H4" s="34">
        <v>5</v>
      </c>
      <c r="I4" s="35" t="s">
        <v>45</v>
      </c>
      <c r="J4" s="7"/>
      <c r="K4" s="9"/>
    </row>
    <row r="5" spans="2:11" ht="12.75">
      <c r="B5" s="10"/>
      <c r="C5" s="33" t="s">
        <v>53</v>
      </c>
      <c r="D5" s="34">
        <v>500</v>
      </c>
      <c r="E5" s="35" t="s">
        <v>54</v>
      </c>
      <c r="F5" s="7"/>
      <c r="G5" s="33" t="s">
        <v>52</v>
      </c>
      <c r="H5" s="34">
        <v>12</v>
      </c>
      <c r="I5" s="35" t="s">
        <v>45</v>
      </c>
      <c r="J5" s="7"/>
      <c r="K5" s="9"/>
    </row>
    <row r="6" spans="2:11" ht="15">
      <c r="B6" s="10"/>
      <c r="C6" s="33" t="s">
        <v>47</v>
      </c>
      <c r="D6" s="36">
        <f>D5/(H4*H5)</f>
        <v>8.333333333333334</v>
      </c>
      <c r="E6" s="35" t="s">
        <v>64</v>
      </c>
      <c r="F6" s="7"/>
      <c r="G6" s="33" t="s">
        <v>49</v>
      </c>
      <c r="H6" s="34">
        <v>2.1</v>
      </c>
      <c r="I6" s="35" t="s">
        <v>45</v>
      </c>
      <c r="J6" s="7"/>
      <c r="K6" s="9"/>
    </row>
    <row r="7" spans="2:11" ht="12.75">
      <c r="B7" s="10"/>
      <c r="C7" s="7"/>
      <c r="D7" s="11"/>
      <c r="E7" s="6"/>
      <c r="F7" s="7"/>
      <c r="G7" s="33" t="s">
        <v>50</v>
      </c>
      <c r="H7" s="34">
        <v>5</v>
      </c>
      <c r="I7" s="35" t="s">
        <v>45</v>
      </c>
      <c r="J7" s="7"/>
      <c r="K7" s="9"/>
    </row>
    <row r="8" spans="2:11" ht="12.75">
      <c r="B8" s="10"/>
      <c r="C8" s="30" t="s">
        <v>55</v>
      </c>
      <c r="D8" s="31" t="s">
        <v>62</v>
      </c>
      <c r="E8" s="32" t="s">
        <v>61</v>
      </c>
      <c r="F8" s="7"/>
      <c r="J8" s="7"/>
      <c r="K8" s="9"/>
    </row>
    <row r="9" spans="2:11" ht="15">
      <c r="B9" s="10"/>
      <c r="C9" s="33" t="s">
        <v>40</v>
      </c>
      <c r="D9" s="37">
        <v>20</v>
      </c>
      <c r="E9" s="35" t="s">
        <v>65</v>
      </c>
      <c r="F9" s="7"/>
      <c r="G9" s="33" t="s">
        <v>57</v>
      </c>
      <c r="H9" s="38">
        <f>(H4*H6)+(H7-H6)*H4/2</f>
        <v>17.75</v>
      </c>
      <c r="I9" s="35" t="s">
        <v>66</v>
      </c>
      <c r="J9" s="7"/>
      <c r="K9" s="9"/>
    </row>
    <row r="10" spans="2:11" ht="15">
      <c r="B10" s="10"/>
      <c r="C10" s="33" t="s">
        <v>41</v>
      </c>
      <c r="D10" s="34">
        <v>30</v>
      </c>
      <c r="E10" s="35" t="s">
        <v>42</v>
      </c>
      <c r="F10" s="7"/>
      <c r="G10" s="33" t="s">
        <v>58</v>
      </c>
      <c r="H10" s="38">
        <f>H4*H5</f>
        <v>60</v>
      </c>
      <c r="I10" s="35" t="s">
        <v>66</v>
      </c>
      <c r="J10" s="7"/>
      <c r="K10" s="9"/>
    </row>
    <row r="11" spans="2:11" ht="15">
      <c r="B11" s="10"/>
      <c r="C11" s="33" t="s">
        <v>33</v>
      </c>
      <c r="D11" s="34">
        <v>300</v>
      </c>
      <c r="E11" s="35" t="s">
        <v>43</v>
      </c>
      <c r="F11" s="7"/>
      <c r="G11" s="33" t="s">
        <v>59</v>
      </c>
      <c r="H11" s="38">
        <f>2*H5*((H4/2)/COS(ATAN((H7-H6)/(H4/2))))</f>
        <v>91.89211065156789</v>
      </c>
      <c r="I11" s="35" t="s">
        <v>66</v>
      </c>
      <c r="J11" s="7"/>
      <c r="K11" s="9"/>
    </row>
    <row r="12" spans="2:11" ht="15">
      <c r="B12" s="10"/>
      <c r="C12" s="33" t="s">
        <v>44</v>
      </c>
      <c r="D12" s="34">
        <v>3000</v>
      </c>
      <c r="E12" s="35" t="s">
        <v>43</v>
      </c>
      <c r="F12" s="7"/>
      <c r="G12" s="33" t="s">
        <v>60</v>
      </c>
      <c r="H12" s="38">
        <f>H4*H5</f>
        <v>60</v>
      </c>
      <c r="I12" s="35" t="s">
        <v>66</v>
      </c>
      <c r="J12" s="7"/>
      <c r="K12" s="9"/>
    </row>
    <row r="13" spans="2:13" ht="12.75">
      <c r="B13" s="10"/>
      <c r="C13" s="8"/>
      <c r="D13" s="28"/>
      <c r="E13" s="6"/>
      <c r="F13" s="7"/>
      <c r="G13" s="7"/>
      <c r="H13" s="7"/>
      <c r="I13" s="7"/>
      <c r="J13" s="7"/>
      <c r="K13" s="22"/>
      <c r="L13" s="1"/>
      <c r="M13" s="3"/>
    </row>
    <row r="14" spans="2:13" ht="12.75">
      <c r="B14" s="10"/>
      <c r="C14" s="8"/>
      <c r="D14" s="29"/>
      <c r="E14" s="6"/>
      <c r="F14" s="7"/>
      <c r="G14" s="7"/>
      <c r="H14" s="7"/>
      <c r="I14" s="7"/>
      <c r="J14" s="7"/>
      <c r="K14" s="22"/>
      <c r="L14" s="1"/>
      <c r="M14" s="3"/>
    </row>
    <row r="15" spans="2:13" ht="13.5" thickBot="1">
      <c r="B15" s="23"/>
      <c r="C15" s="24"/>
      <c r="D15" s="12"/>
      <c r="E15" s="13"/>
      <c r="F15" s="14"/>
      <c r="G15" s="14"/>
      <c r="H15" s="14"/>
      <c r="I15" s="14"/>
      <c r="J15" s="14"/>
      <c r="K15" s="25"/>
      <c r="L15" s="1"/>
      <c r="M15" s="3"/>
    </row>
    <row r="16" spans="3:13" ht="13.5" thickBot="1">
      <c r="C16" s="8"/>
      <c r="D16" s="17"/>
      <c r="E16" s="6"/>
      <c r="F16" s="7"/>
      <c r="G16" s="7"/>
      <c r="H16" s="7"/>
      <c r="I16" s="7"/>
      <c r="J16" s="7"/>
      <c r="K16" s="2"/>
      <c r="L16" s="1"/>
      <c r="M16" s="3"/>
    </row>
    <row r="17" spans="2:11" ht="12.75">
      <c r="B17" s="21"/>
      <c r="C17" s="4"/>
      <c r="D17" s="4"/>
      <c r="E17" s="4"/>
      <c r="F17" s="4"/>
      <c r="G17" s="4"/>
      <c r="H17" s="4"/>
      <c r="I17" s="4"/>
      <c r="J17" s="26"/>
      <c r="K17" s="27"/>
    </row>
    <row r="18" spans="2:11" ht="12.75">
      <c r="B18" s="10"/>
      <c r="C18" s="18" t="s">
        <v>28</v>
      </c>
      <c r="D18" s="19" t="s">
        <v>27</v>
      </c>
      <c r="E18" s="19" t="s">
        <v>63</v>
      </c>
      <c r="F18" s="7"/>
      <c r="G18" s="7"/>
      <c r="H18" s="7"/>
      <c r="I18" s="7"/>
      <c r="J18" s="7"/>
      <c r="K18" s="9"/>
    </row>
    <row r="19" spans="2:11" ht="12.75">
      <c r="B19" s="10"/>
      <c r="C19" s="20">
        <v>0</v>
      </c>
      <c r="D19" s="16">
        <v>34</v>
      </c>
      <c r="E19" s="16">
        <v>50</v>
      </c>
      <c r="F19" s="7"/>
      <c r="G19" s="7"/>
      <c r="H19" s="7"/>
      <c r="I19" s="7"/>
      <c r="J19" s="7"/>
      <c r="K19" s="9"/>
    </row>
    <row r="20" spans="2:11" ht="12.75">
      <c r="B20" s="10"/>
      <c r="C20" s="20">
        <f aca="true" t="shared" si="0" ref="C20:C61">C19+1</f>
        <v>1</v>
      </c>
      <c r="D20" s="16">
        <v>33</v>
      </c>
      <c r="E20" s="16">
        <f aca="true" t="shared" si="1" ref="E20:E46">E19+0.9</f>
        <v>50.9</v>
      </c>
      <c r="F20" s="7"/>
      <c r="G20" s="7"/>
      <c r="H20" s="7"/>
      <c r="I20" s="7"/>
      <c r="J20" s="7"/>
      <c r="K20" s="9"/>
    </row>
    <row r="21" spans="2:11" ht="12.75">
      <c r="B21" s="10"/>
      <c r="C21" s="20">
        <f t="shared" si="0"/>
        <v>2</v>
      </c>
      <c r="D21" s="16">
        <v>32</v>
      </c>
      <c r="E21" s="16">
        <f t="shared" si="1"/>
        <v>51.8</v>
      </c>
      <c r="F21" s="7"/>
      <c r="G21" s="7"/>
      <c r="H21" s="7"/>
      <c r="I21" s="7"/>
      <c r="J21" s="7"/>
      <c r="K21" s="9"/>
    </row>
    <row r="22" spans="2:11" ht="12.75">
      <c r="B22" s="10"/>
      <c r="C22" s="20">
        <f t="shared" si="0"/>
        <v>3</v>
      </c>
      <c r="D22" s="16">
        <v>31</v>
      </c>
      <c r="E22" s="16">
        <f t="shared" si="1"/>
        <v>52.699999999999996</v>
      </c>
      <c r="F22" s="7"/>
      <c r="G22" s="7"/>
      <c r="H22" s="7"/>
      <c r="I22" s="7"/>
      <c r="J22" s="7"/>
      <c r="K22" s="9"/>
    </row>
    <row r="23" spans="2:11" ht="12.75">
      <c r="B23" s="10"/>
      <c r="C23" s="20">
        <f t="shared" si="0"/>
        <v>4</v>
      </c>
      <c r="D23" s="16">
        <v>30</v>
      </c>
      <c r="E23" s="16">
        <f t="shared" si="1"/>
        <v>53.599999999999994</v>
      </c>
      <c r="F23" s="7"/>
      <c r="G23" s="7"/>
      <c r="H23" s="7"/>
      <c r="I23" s="7"/>
      <c r="J23" s="7"/>
      <c r="K23" s="9"/>
    </row>
    <row r="24" spans="2:11" ht="12.75">
      <c r="B24" s="10"/>
      <c r="C24" s="20">
        <f t="shared" si="0"/>
        <v>5</v>
      </c>
      <c r="D24" s="16">
        <v>29</v>
      </c>
      <c r="E24" s="16">
        <f t="shared" si="1"/>
        <v>54.49999999999999</v>
      </c>
      <c r="F24" s="7"/>
      <c r="G24" s="7"/>
      <c r="H24" s="7"/>
      <c r="I24" s="7"/>
      <c r="J24" s="7"/>
      <c r="K24" s="9"/>
    </row>
    <row r="25" spans="2:11" ht="12.75">
      <c r="B25" s="10"/>
      <c r="C25" s="20">
        <f t="shared" si="0"/>
        <v>6</v>
      </c>
      <c r="D25" s="16">
        <v>28</v>
      </c>
      <c r="E25" s="16">
        <f t="shared" si="1"/>
        <v>55.39999999999999</v>
      </c>
      <c r="F25" s="7"/>
      <c r="G25" s="7"/>
      <c r="H25" s="7"/>
      <c r="I25" s="7"/>
      <c r="J25" s="7"/>
      <c r="K25" s="9"/>
    </row>
    <row r="26" spans="2:11" ht="12.75">
      <c r="B26" s="10"/>
      <c r="C26" s="20">
        <f t="shared" si="0"/>
        <v>7</v>
      </c>
      <c r="D26" s="16">
        <v>27</v>
      </c>
      <c r="E26" s="16">
        <f t="shared" si="1"/>
        <v>56.29999999999999</v>
      </c>
      <c r="F26" s="7"/>
      <c r="G26" s="7"/>
      <c r="H26" s="7"/>
      <c r="I26" s="7"/>
      <c r="J26" s="7"/>
      <c r="K26" s="9"/>
    </row>
    <row r="27" spans="2:11" ht="12.75">
      <c r="B27" s="10"/>
      <c r="C27" s="20">
        <f t="shared" si="0"/>
        <v>8</v>
      </c>
      <c r="D27" s="16">
        <v>26.5</v>
      </c>
      <c r="E27" s="16">
        <f t="shared" si="1"/>
        <v>57.19999999999999</v>
      </c>
      <c r="F27" s="7"/>
      <c r="G27" s="7"/>
      <c r="H27" s="7"/>
      <c r="I27" s="7"/>
      <c r="J27" s="7"/>
      <c r="K27" s="9"/>
    </row>
    <row r="28" spans="2:11" ht="12.75">
      <c r="B28" s="10"/>
      <c r="C28" s="20">
        <f t="shared" si="0"/>
        <v>9</v>
      </c>
      <c r="D28" s="16">
        <v>26</v>
      </c>
      <c r="E28" s="16">
        <f t="shared" si="1"/>
        <v>58.09999999999999</v>
      </c>
      <c r="F28" s="7"/>
      <c r="G28" s="7"/>
      <c r="H28" s="7"/>
      <c r="I28" s="7"/>
      <c r="J28" s="7"/>
      <c r="K28" s="9"/>
    </row>
    <row r="29" spans="2:11" ht="12.75">
      <c r="B29" s="10"/>
      <c r="C29" s="20">
        <f t="shared" si="0"/>
        <v>10</v>
      </c>
      <c r="D29" s="16">
        <v>25.5</v>
      </c>
      <c r="E29" s="16">
        <f t="shared" si="1"/>
        <v>58.999999999999986</v>
      </c>
      <c r="F29" s="7"/>
      <c r="G29" s="7"/>
      <c r="H29" s="7"/>
      <c r="I29" s="7"/>
      <c r="J29" s="7"/>
      <c r="K29" s="9"/>
    </row>
    <row r="30" spans="2:11" ht="12.75">
      <c r="B30" s="10"/>
      <c r="C30" s="20">
        <f t="shared" si="0"/>
        <v>11</v>
      </c>
      <c r="D30" s="16">
        <v>25</v>
      </c>
      <c r="E30" s="16">
        <f t="shared" si="1"/>
        <v>59.899999999999984</v>
      </c>
      <c r="F30" s="7"/>
      <c r="G30" s="7"/>
      <c r="H30" s="7"/>
      <c r="I30" s="7"/>
      <c r="J30" s="7"/>
      <c r="K30" s="9"/>
    </row>
    <row r="31" spans="2:11" ht="12.75">
      <c r="B31" s="10"/>
      <c r="C31" s="20">
        <f t="shared" si="0"/>
        <v>12</v>
      </c>
      <c r="D31" s="16">
        <v>24.5</v>
      </c>
      <c r="E31" s="16">
        <f t="shared" si="1"/>
        <v>60.79999999999998</v>
      </c>
      <c r="F31" s="7"/>
      <c r="G31" s="7"/>
      <c r="H31" s="7"/>
      <c r="I31" s="7"/>
      <c r="J31" s="7"/>
      <c r="K31" s="9"/>
    </row>
    <row r="32" spans="2:11" ht="12.75">
      <c r="B32" s="10"/>
      <c r="C32" s="20">
        <f t="shared" si="0"/>
        <v>13</v>
      </c>
      <c r="D32" s="16">
        <v>24</v>
      </c>
      <c r="E32" s="16">
        <f t="shared" si="1"/>
        <v>61.69999999999998</v>
      </c>
      <c r="F32" s="7"/>
      <c r="G32" s="7"/>
      <c r="H32" s="7"/>
      <c r="I32" s="7"/>
      <c r="J32" s="7"/>
      <c r="K32" s="9"/>
    </row>
    <row r="33" spans="2:11" ht="12.75">
      <c r="B33" s="10"/>
      <c r="C33" s="20">
        <f t="shared" si="0"/>
        <v>14</v>
      </c>
      <c r="D33" s="16">
        <v>23.5</v>
      </c>
      <c r="E33" s="16">
        <f t="shared" si="1"/>
        <v>62.59999999999998</v>
      </c>
      <c r="F33" s="7"/>
      <c r="G33" s="7"/>
      <c r="H33" s="7"/>
      <c r="I33" s="7"/>
      <c r="J33" s="7"/>
      <c r="K33" s="9"/>
    </row>
    <row r="34" spans="2:11" ht="12.75">
      <c r="B34" s="10"/>
      <c r="C34" s="20">
        <f t="shared" si="0"/>
        <v>15</v>
      </c>
      <c r="D34" s="16">
        <v>23</v>
      </c>
      <c r="E34" s="16">
        <f t="shared" si="1"/>
        <v>63.49999999999998</v>
      </c>
      <c r="F34" s="7"/>
      <c r="G34" s="7"/>
      <c r="H34" s="7"/>
      <c r="I34" s="7"/>
      <c r="J34" s="7"/>
      <c r="K34" s="9"/>
    </row>
    <row r="35" spans="2:11" ht="12.75">
      <c r="B35" s="10"/>
      <c r="C35" s="20">
        <f t="shared" si="0"/>
        <v>16</v>
      </c>
      <c r="D35" s="16">
        <v>22.66</v>
      </c>
      <c r="E35" s="16">
        <f t="shared" si="1"/>
        <v>64.39999999999998</v>
      </c>
      <c r="F35" s="7"/>
      <c r="G35" s="7"/>
      <c r="H35" s="7"/>
      <c r="I35" s="7"/>
      <c r="J35" s="7"/>
      <c r="K35" s="9"/>
    </row>
    <row r="36" spans="2:11" ht="12.75">
      <c r="B36" s="10"/>
      <c r="C36" s="20">
        <f t="shared" si="0"/>
        <v>17</v>
      </c>
      <c r="D36" s="16">
        <v>22.33</v>
      </c>
      <c r="E36" s="16">
        <f t="shared" si="1"/>
        <v>65.29999999999998</v>
      </c>
      <c r="F36" s="7"/>
      <c r="G36" s="7"/>
      <c r="H36" s="7"/>
      <c r="I36" s="7"/>
      <c r="J36" s="7"/>
      <c r="K36" s="9"/>
    </row>
    <row r="37" spans="2:11" ht="12.75">
      <c r="B37" s="10"/>
      <c r="C37" s="20">
        <f t="shared" si="0"/>
        <v>18</v>
      </c>
      <c r="D37" s="16">
        <v>22</v>
      </c>
      <c r="E37" s="16">
        <f t="shared" si="1"/>
        <v>66.19999999999999</v>
      </c>
      <c r="F37" s="7"/>
      <c r="G37" s="7"/>
      <c r="H37" s="7"/>
      <c r="I37" s="7"/>
      <c r="J37" s="7"/>
      <c r="K37" s="9"/>
    </row>
    <row r="38" spans="2:11" ht="12.75">
      <c r="B38" s="10"/>
      <c r="C38" s="20">
        <f t="shared" si="0"/>
        <v>19</v>
      </c>
      <c r="D38" s="16">
        <v>21.75</v>
      </c>
      <c r="E38" s="16">
        <f t="shared" si="1"/>
        <v>67.1</v>
      </c>
      <c r="F38" s="7"/>
      <c r="G38" s="7"/>
      <c r="H38" s="7"/>
      <c r="I38" s="7"/>
      <c r="J38" s="7"/>
      <c r="K38" s="9"/>
    </row>
    <row r="39" spans="2:11" ht="12.75">
      <c r="B39" s="10"/>
      <c r="C39" s="20">
        <f t="shared" si="0"/>
        <v>20</v>
      </c>
      <c r="D39" s="16">
        <v>21.5</v>
      </c>
      <c r="E39" s="16">
        <f t="shared" si="1"/>
        <v>68</v>
      </c>
      <c r="F39" s="7"/>
      <c r="G39" s="7"/>
      <c r="H39" s="7"/>
      <c r="I39" s="7"/>
      <c r="J39" s="7"/>
      <c r="K39" s="9"/>
    </row>
    <row r="40" spans="2:11" ht="12.75">
      <c r="B40" s="10"/>
      <c r="C40" s="20">
        <f t="shared" si="0"/>
        <v>21</v>
      </c>
      <c r="D40" s="16">
        <v>21.25</v>
      </c>
      <c r="E40" s="16">
        <f t="shared" si="1"/>
        <v>68.9</v>
      </c>
      <c r="F40" s="7"/>
      <c r="G40" s="7"/>
      <c r="H40" s="7"/>
      <c r="I40" s="7"/>
      <c r="J40" s="7"/>
      <c r="K40" s="9"/>
    </row>
    <row r="41" spans="2:11" ht="12.75">
      <c r="B41" s="10"/>
      <c r="C41" s="20">
        <f t="shared" si="0"/>
        <v>22</v>
      </c>
      <c r="D41" s="16">
        <v>21</v>
      </c>
      <c r="E41" s="16">
        <f t="shared" si="1"/>
        <v>69.80000000000001</v>
      </c>
      <c r="F41" s="7"/>
      <c r="G41" s="7"/>
      <c r="H41" s="7"/>
      <c r="I41" s="7"/>
      <c r="J41" s="7"/>
      <c r="K41" s="9"/>
    </row>
    <row r="42" spans="2:11" ht="12.75">
      <c r="B42" s="10"/>
      <c r="C42" s="20">
        <f t="shared" si="0"/>
        <v>23</v>
      </c>
      <c r="D42" s="16">
        <v>20.75</v>
      </c>
      <c r="E42" s="16">
        <f t="shared" si="1"/>
        <v>70.70000000000002</v>
      </c>
      <c r="F42" s="7"/>
      <c r="G42" s="7"/>
      <c r="H42" s="7"/>
      <c r="I42" s="7"/>
      <c r="J42" s="7"/>
      <c r="K42" s="9"/>
    </row>
    <row r="43" spans="2:11" ht="12.75">
      <c r="B43" s="10"/>
      <c r="C43" s="20">
        <f t="shared" si="0"/>
        <v>24</v>
      </c>
      <c r="D43" s="16">
        <v>20.5</v>
      </c>
      <c r="E43" s="16">
        <f t="shared" si="1"/>
        <v>71.60000000000002</v>
      </c>
      <c r="F43" s="7"/>
      <c r="G43" s="7"/>
      <c r="H43" s="7"/>
      <c r="I43" s="7"/>
      <c r="J43" s="7"/>
      <c r="K43" s="9"/>
    </row>
    <row r="44" spans="2:11" ht="12.75">
      <c r="B44" s="10"/>
      <c r="C44" s="20">
        <f t="shared" si="0"/>
        <v>25</v>
      </c>
      <c r="D44" s="16">
        <v>20.25</v>
      </c>
      <c r="E44" s="16">
        <f t="shared" si="1"/>
        <v>72.50000000000003</v>
      </c>
      <c r="F44" s="7"/>
      <c r="G44" s="7"/>
      <c r="H44" s="7"/>
      <c r="I44" s="7"/>
      <c r="J44" s="7"/>
      <c r="K44" s="9"/>
    </row>
    <row r="45" spans="2:11" ht="12.75">
      <c r="B45" s="10"/>
      <c r="C45" s="20">
        <f t="shared" si="0"/>
        <v>26</v>
      </c>
      <c r="D45" s="16">
        <v>20</v>
      </c>
      <c r="E45" s="16">
        <f t="shared" si="1"/>
        <v>73.40000000000003</v>
      </c>
      <c r="F45" s="7"/>
      <c r="G45" s="7"/>
      <c r="H45" s="7"/>
      <c r="I45" s="7"/>
      <c r="J45" s="7"/>
      <c r="K45" s="9"/>
    </row>
    <row r="46" spans="2:11" ht="12.75">
      <c r="B46" s="10"/>
      <c r="C46" s="20">
        <f t="shared" si="0"/>
        <v>27</v>
      </c>
      <c r="D46" s="16">
        <v>19.75</v>
      </c>
      <c r="E46" s="16">
        <f t="shared" si="1"/>
        <v>74.30000000000004</v>
      </c>
      <c r="F46" s="7"/>
      <c r="G46" s="7"/>
      <c r="H46" s="7"/>
      <c r="I46" s="7"/>
      <c r="J46" s="7"/>
      <c r="K46" s="9"/>
    </row>
    <row r="47" spans="2:11" ht="12.75">
      <c r="B47" s="10"/>
      <c r="C47" s="20">
        <f t="shared" si="0"/>
        <v>28</v>
      </c>
      <c r="D47" s="16">
        <v>19.5</v>
      </c>
      <c r="E47" s="16">
        <v>75</v>
      </c>
      <c r="F47" s="7"/>
      <c r="G47" s="7"/>
      <c r="H47" s="7"/>
      <c r="I47" s="7"/>
      <c r="J47" s="7"/>
      <c r="K47" s="9"/>
    </row>
    <row r="48" spans="2:11" ht="12.75">
      <c r="B48" s="10"/>
      <c r="C48" s="20">
        <f t="shared" si="0"/>
        <v>29</v>
      </c>
      <c r="D48" s="16">
        <v>19.25</v>
      </c>
      <c r="E48" s="16">
        <v>75</v>
      </c>
      <c r="F48" s="7"/>
      <c r="G48" s="7"/>
      <c r="H48" s="7"/>
      <c r="I48" s="7"/>
      <c r="J48" s="7"/>
      <c r="K48" s="9"/>
    </row>
    <row r="49" spans="2:11" ht="12.75">
      <c r="B49" s="10"/>
      <c r="C49" s="20">
        <f t="shared" si="0"/>
        <v>30</v>
      </c>
      <c r="D49" s="16">
        <v>19</v>
      </c>
      <c r="E49" s="16">
        <v>75</v>
      </c>
      <c r="F49" s="7"/>
      <c r="G49" s="7"/>
      <c r="H49" s="7"/>
      <c r="I49" s="7"/>
      <c r="J49" s="7"/>
      <c r="K49" s="9"/>
    </row>
    <row r="50" spans="2:11" ht="12.75">
      <c r="B50" s="10"/>
      <c r="C50" s="20">
        <f t="shared" si="0"/>
        <v>31</v>
      </c>
      <c r="D50" s="16">
        <v>18.75</v>
      </c>
      <c r="E50" s="16">
        <v>75</v>
      </c>
      <c r="F50" s="7"/>
      <c r="G50" s="7"/>
      <c r="H50" s="7"/>
      <c r="I50" s="7"/>
      <c r="J50" s="7"/>
      <c r="K50" s="9"/>
    </row>
    <row r="51" spans="2:11" ht="12.75">
      <c r="B51" s="10"/>
      <c r="C51" s="20">
        <f t="shared" si="0"/>
        <v>32</v>
      </c>
      <c r="D51" s="16">
        <v>18.5</v>
      </c>
      <c r="E51" s="16">
        <v>75</v>
      </c>
      <c r="F51" s="7"/>
      <c r="G51" s="7"/>
      <c r="H51" s="7"/>
      <c r="I51" s="7"/>
      <c r="J51" s="7"/>
      <c r="K51" s="9"/>
    </row>
    <row r="52" spans="2:11" ht="12.75">
      <c r="B52" s="10"/>
      <c r="C52" s="20">
        <f t="shared" si="0"/>
        <v>33</v>
      </c>
      <c r="D52" s="16">
        <v>18.5</v>
      </c>
      <c r="E52" s="16">
        <v>75</v>
      </c>
      <c r="F52" s="7"/>
      <c r="G52" s="7"/>
      <c r="H52" s="7"/>
      <c r="I52" s="7"/>
      <c r="J52" s="7"/>
      <c r="K52" s="9"/>
    </row>
    <row r="53" spans="2:11" ht="12.75">
      <c r="B53" s="10"/>
      <c r="C53" s="20">
        <f t="shared" si="0"/>
        <v>34</v>
      </c>
      <c r="D53" s="16">
        <v>18.5</v>
      </c>
      <c r="E53" s="16">
        <v>75</v>
      </c>
      <c r="F53" s="7"/>
      <c r="G53" s="7"/>
      <c r="H53" s="7"/>
      <c r="I53" s="7"/>
      <c r="J53" s="7"/>
      <c r="K53" s="9"/>
    </row>
    <row r="54" spans="2:11" ht="12.75">
      <c r="B54" s="10"/>
      <c r="C54" s="20">
        <f t="shared" si="0"/>
        <v>35</v>
      </c>
      <c r="D54" s="16">
        <v>18.5</v>
      </c>
      <c r="E54" s="16">
        <v>75</v>
      </c>
      <c r="F54" s="7"/>
      <c r="G54" s="7"/>
      <c r="H54" s="7"/>
      <c r="I54" s="7"/>
      <c r="J54" s="7"/>
      <c r="K54" s="9"/>
    </row>
    <row r="55" spans="2:11" ht="12.75">
      <c r="B55" s="10"/>
      <c r="C55" s="20">
        <f t="shared" si="0"/>
        <v>36</v>
      </c>
      <c r="D55" s="16">
        <v>18.5</v>
      </c>
      <c r="E55" s="16">
        <v>75</v>
      </c>
      <c r="F55" s="7"/>
      <c r="G55" s="7"/>
      <c r="H55" s="7"/>
      <c r="I55" s="7"/>
      <c r="J55" s="7"/>
      <c r="K55" s="9"/>
    </row>
    <row r="56" spans="2:11" ht="12.75">
      <c r="B56" s="10"/>
      <c r="C56" s="20">
        <f t="shared" si="0"/>
        <v>37</v>
      </c>
      <c r="D56" s="16">
        <v>18.5</v>
      </c>
      <c r="E56" s="16">
        <v>75</v>
      </c>
      <c r="F56" s="7"/>
      <c r="G56" s="7"/>
      <c r="H56" s="7"/>
      <c r="I56" s="7"/>
      <c r="J56" s="7"/>
      <c r="K56" s="9"/>
    </row>
    <row r="57" spans="2:11" ht="12.75">
      <c r="B57" s="10"/>
      <c r="C57" s="20">
        <f t="shared" si="0"/>
        <v>38</v>
      </c>
      <c r="D57" s="16">
        <v>18.5</v>
      </c>
      <c r="E57" s="16">
        <v>75</v>
      </c>
      <c r="F57" s="7"/>
      <c r="G57" s="7"/>
      <c r="H57" s="7"/>
      <c r="I57" s="7"/>
      <c r="J57" s="7"/>
      <c r="K57" s="9"/>
    </row>
    <row r="58" spans="2:11" ht="12.75">
      <c r="B58" s="10"/>
      <c r="C58" s="20">
        <f t="shared" si="0"/>
        <v>39</v>
      </c>
      <c r="D58" s="16">
        <v>18.5</v>
      </c>
      <c r="E58" s="16">
        <v>75</v>
      </c>
      <c r="F58" s="7"/>
      <c r="G58" s="7"/>
      <c r="H58" s="7"/>
      <c r="I58" s="7"/>
      <c r="J58" s="7"/>
      <c r="K58" s="9"/>
    </row>
    <row r="59" spans="2:11" ht="12.75">
      <c r="B59" s="10"/>
      <c r="C59" s="20">
        <f t="shared" si="0"/>
        <v>40</v>
      </c>
      <c r="D59" s="16">
        <v>18.5</v>
      </c>
      <c r="E59" s="16">
        <v>75</v>
      </c>
      <c r="F59" s="7"/>
      <c r="G59" s="7"/>
      <c r="H59" s="7"/>
      <c r="I59" s="7"/>
      <c r="J59" s="7"/>
      <c r="K59" s="9"/>
    </row>
    <row r="60" spans="2:11" ht="12.75">
      <c r="B60" s="10"/>
      <c r="C60" s="20">
        <f t="shared" si="0"/>
        <v>41</v>
      </c>
      <c r="D60" s="16">
        <v>18.5</v>
      </c>
      <c r="E60" s="16">
        <v>75</v>
      </c>
      <c r="F60" s="7"/>
      <c r="G60" s="7"/>
      <c r="H60" s="7"/>
      <c r="I60" s="7"/>
      <c r="J60" s="7"/>
      <c r="K60" s="9"/>
    </row>
    <row r="61" spans="2:11" ht="12.75">
      <c r="B61" s="10"/>
      <c r="C61" s="20">
        <f t="shared" si="0"/>
        <v>42</v>
      </c>
      <c r="D61" s="16">
        <v>18.5</v>
      </c>
      <c r="E61" s="16">
        <v>75</v>
      </c>
      <c r="F61" s="7"/>
      <c r="G61" s="7"/>
      <c r="H61" s="7"/>
      <c r="I61" s="7"/>
      <c r="J61" s="7"/>
      <c r="K61" s="9"/>
    </row>
    <row r="62" spans="2:11" ht="13.5" thickBot="1">
      <c r="B62" s="23"/>
      <c r="C62" s="14"/>
      <c r="D62" s="14"/>
      <c r="E62" s="14"/>
      <c r="F62" s="14"/>
      <c r="G62" s="14"/>
      <c r="H62" s="14"/>
      <c r="I62" s="14"/>
      <c r="J62" s="14"/>
      <c r="K62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="75" zoomScaleNormal="75" zoomScalePageLayoutView="0" workbookViewId="0" topLeftCell="A1">
      <selection activeCell="A1" sqref="A1:IV16384"/>
    </sheetView>
  </sheetViews>
  <sheetFormatPr defaultColWidth="10.28125" defaultRowHeight="36.75" customHeight="1"/>
  <cols>
    <col min="1" max="2" width="10.28125" style="39" customWidth="1"/>
    <col min="3" max="3" width="10.28125" style="41" customWidth="1"/>
    <col min="4" max="16384" width="10.28125" style="39" customWidth="1"/>
  </cols>
  <sheetData>
    <row r="1" spans="3:16" ht="36.75" customHeight="1">
      <c r="C1" s="39"/>
      <c r="M1" s="40"/>
      <c r="N1" s="40"/>
      <c r="O1" s="40"/>
      <c r="P1" s="40"/>
    </row>
    <row r="2" spans="4:5" ht="36.75" customHeight="1">
      <c r="D2" s="42" t="s">
        <v>46</v>
      </c>
      <c r="E2" s="43">
        <v>100</v>
      </c>
    </row>
    <row r="3" spans="4:5" ht="36.75" customHeight="1">
      <c r="D3" s="42" t="s">
        <v>48</v>
      </c>
      <c r="E3" s="43">
        <v>0.67</v>
      </c>
    </row>
    <row r="4" ht="36.75" customHeight="1">
      <c r="J4" s="44"/>
    </row>
    <row r="5" spans="1:20" s="45" customFormat="1" ht="36.75" customHeight="1">
      <c r="A5" s="45" t="s">
        <v>67</v>
      </c>
      <c r="B5" s="45" t="s">
        <v>36</v>
      </c>
      <c r="C5" s="46" t="s">
        <v>26</v>
      </c>
      <c r="D5" s="45" t="s">
        <v>25</v>
      </c>
      <c r="E5" s="45" t="s">
        <v>29</v>
      </c>
      <c r="F5" s="45" t="s">
        <v>24</v>
      </c>
      <c r="G5" s="45" t="s">
        <v>30</v>
      </c>
      <c r="H5" s="45" t="s">
        <v>31</v>
      </c>
      <c r="I5" s="46" t="s">
        <v>32</v>
      </c>
      <c r="J5" s="46" t="s">
        <v>70</v>
      </c>
      <c r="K5" s="46" t="s">
        <v>35</v>
      </c>
      <c r="L5" s="45" t="s">
        <v>20</v>
      </c>
      <c r="M5" s="45" t="s">
        <v>34</v>
      </c>
      <c r="N5" s="45" t="s">
        <v>37</v>
      </c>
      <c r="O5" s="45" t="s">
        <v>21</v>
      </c>
      <c r="P5" s="45" t="s">
        <v>71</v>
      </c>
      <c r="Q5" s="45" t="s">
        <v>22</v>
      </c>
      <c r="R5" s="45" t="s">
        <v>68</v>
      </c>
      <c r="S5" s="45" t="s">
        <v>38</v>
      </c>
      <c r="T5" s="45" t="s">
        <v>72</v>
      </c>
    </row>
    <row r="6" spans="1:20" ht="36.75" customHeight="1">
      <c r="A6" s="39">
        <v>1</v>
      </c>
      <c r="B6" s="39">
        <f>0.622*ventilation!E19/100*(532.183+54.2284*ventilation!$D19+2.0548*ventilation!$D19^2)/(101325-ventilation!E19/100*(532.183+54.2284*ventilation!$D19+2.0548*ventilation!$D19^2))*1000</f>
        <v>14.933432831913876</v>
      </c>
      <c r="C6" s="47">
        <f>ventilation!$D$4*EXP((0.20821682/0.042921358)*(1-EXP(-0.042921358*ventilation!C19)))</f>
        <v>40</v>
      </c>
      <c r="D6" s="48">
        <v>0.363608</v>
      </c>
      <c r="E6" s="48">
        <f aca="true" t="shared" si="0" ref="E6:E48">(10.19234339*(C6/1000)^0.633111386)*3.6</f>
        <v>4.781066797479497</v>
      </c>
      <c r="F6" s="48">
        <f aca="true" t="shared" si="1" ref="F6:F48">585*D6/1000*4.185</f>
        <v>0.8901941957999998</v>
      </c>
      <c r="G6" s="48">
        <f aca="true" t="shared" si="2" ref="G6:G48">F6/3.6</f>
        <v>0.24727616549999995</v>
      </c>
      <c r="H6" s="48">
        <f aca="true" t="shared" si="3" ref="H6:H48">E6-F6</f>
        <v>3.890872601679497</v>
      </c>
      <c r="I6" s="48">
        <f aca="true" t="shared" si="4" ref="I6:I48">0.1973+1.3147*C6/1000</f>
        <v>0.249888</v>
      </c>
      <c r="J6" s="44">
        <f>I6*44/22.4/(ventilation!$D$12-ventilation!$D$11)*1000</f>
        <v>0.1817968253968254</v>
      </c>
      <c r="K6" s="49">
        <f>J6/($C6/1000)</f>
        <v>4.544920634920635</v>
      </c>
      <c r="L6" s="44">
        <f>($H6*1000-ventilation!$D$13*(3600*data!$E$3)*(ventilation!$D19-ventilation!D$9))/(0.35*3600*(ventilation!$D19-ventilation!D$9))</f>
        <v>0.22057100916550434</v>
      </c>
      <c r="M6" s="49">
        <f aca="true" t="shared" si="5" ref="M6:M48">L6/($C6/1000)</f>
        <v>5.514275229137609</v>
      </c>
      <c r="N6" s="48">
        <f>0.622*ventilation!D$10/100*(532.183+54.2284*ventilation!D$9+2.0548*ventilation!D$9^2)/(101325-ventilation!D$10/100*(532.183+54.2284*ventilation!D$9+2.0548*ventilation!D$9^2))*1000</f>
        <v>4.52371641162175</v>
      </c>
      <c r="O6" s="44">
        <f aca="true" t="shared" si="6" ref="O6:O48">($D6)/(1.19*($B6-N6))</f>
        <v>0.029352667146709453</v>
      </c>
      <c r="P6" s="49">
        <f aca="true" t="shared" si="7" ref="P6:P48">O6/($C6/1000)</f>
        <v>0.7338166786677363</v>
      </c>
      <c r="Q6" s="39" t="str">
        <f aca="true" t="shared" si="8" ref="Q6:Q48">IF(R6=K6,"co2",IF(R6=M6,"warmte","vocht"))</f>
        <v>co2</v>
      </c>
      <c r="R6" s="49">
        <f>MAX(K6,P6)</f>
        <v>4.544920634920635</v>
      </c>
      <c r="S6" s="44">
        <f aca="true" t="shared" si="9" ref="S6:S48">MAX(J6,O6)</f>
        <v>0.1817968253968254</v>
      </c>
      <c r="T6" s="40">
        <f>S6*ventilation!$D$5</f>
        <v>90.8984126984127</v>
      </c>
    </row>
    <row r="7" spans="1:20" ht="36.75" customHeight="1">
      <c r="A7" s="39">
        <f>A6+1</f>
        <v>2</v>
      </c>
      <c r="B7" s="39">
        <f>0.622*ventilation!E20/100*(532.183+54.2284*ventilation!$D20+2.0548*ventilation!$D20^2)/(101325-ventilation!E20/100*(532.183+54.2284*ventilation!$D20+2.0548*ventilation!$D20^2))*1000</f>
        <v>14.580140289085385</v>
      </c>
      <c r="C7" s="47">
        <f>ventilation!$D$4*EXP((0.20821682/0.042921358)*(1-EXP(-0.042921358*ventilation!C20)))</f>
        <v>49.042685454434256</v>
      </c>
      <c r="D7" s="48">
        <f>(ventilation!$D$4/44)*(-1.6528+10.3794*ventilation!C20)/24</f>
        <v>0.33055303030303035</v>
      </c>
      <c r="E7" s="48">
        <f t="shared" si="0"/>
        <v>5.439565266007102</v>
      </c>
      <c r="F7" s="48">
        <f t="shared" si="1"/>
        <v>0.8092681926136365</v>
      </c>
      <c r="G7" s="48">
        <f t="shared" si="2"/>
        <v>0.22479672017045457</v>
      </c>
      <c r="H7" s="48">
        <f t="shared" si="3"/>
        <v>4.630297073393465</v>
      </c>
      <c r="I7" s="48">
        <f t="shared" si="4"/>
        <v>0.2617764185669447</v>
      </c>
      <c r="J7" s="44">
        <f>I7*44/22.4/(ventilation!$D$12-ventilation!$D$11)*1000</f>
        <v>0.19044580715849158</v>
      </c>
      <c r="K7" s="49">
        <f aca="true" t="shared" si="10" ref="K7:K48">J7/($C7/1000)</f>
        <v>3.883266289229522</v>
      </c>
      <c r="L7" s="44">
        <f>($H7*1000-ventilation!$D$13*(3600*data!$E$3)*(ventilation!$D20-ventilation!D$9))/(0.35*3600*(ventilation!$D20-ventilation!D$9))</f>
        <v>0.2826799190105901</v>
      </c>
      <c r="M7" s="49">
        <f t="shared" si="5"/>
        <v>5.763956773395475</v>
      </c>
      <c r="N7" s="48">
        <f>0.622*ventilation!D$10/100*(532.183+54.2284*ventilation!D$9+2.0548*ventilation!D$9^2)/(101325-ventilation!D$10/100*(532.183+54.2284*ventilation!D$9+2.0548*ventilation!D$9^2))*1000</f>
        <v>4.52371641162175</v>
      </c>
      <c r="O7" s="44">
        <f t="shared" si="6"/>
        <v>0.02762171315583915</v>
      </c>
      <c r="P7" s="49">
        <f t="shared" si="7"/>
        <v>0.5632177948636721</v>
      </c>
      <c r="Q7" s="39" t="str">
        <f t="shared" si="8"/>
        <v>co2</v>
      </c>
      <c r="R7" s="49">
        <f aca="true" t="shared" si="11" ref="R7:R48">MAX(K7,P7)</f>
        <v>3.883266289229522</v>
      </c>
      <c r="S7" s="44">
        <f t="shared" si="9"/>
        <v>0.19044580715849158</v>
      </c>
      <c r="T7" s="40">
        <f>S7*ventilation!$D$5</f>
        <v>95.22290357924578</v>
      </c>
    </row>
    <row r="8" spans="1:20" ht="36.75" customHeight="1">
      <c r="A8" s="39">
        <f aca="true" t="shared" si="12" ref="A8:A48">A7+1</f>
        <v>3</v>
      </c>
      <c r="B8" s="39">
        <f>0.622*ventilation!E21/100*(532.183+54.2284*ventilation!$D21+2.0548*ventilation!$D21^2)/(101325-ventilation!E21/100*(532.183+54.2284*ventilation!$D21+2.0548*ventilation!$D21^2))*1000</f>
        <v>14.218726750615668</v>
      </c>
      <c r="C8" s="47">
        <f>ventilation!$D$4*EXP((0.20821682/0.042921358)*(1-EXP(-0.042921358*ventilation!C21)))</f>
        <v>59.61694552154821</v>
      </c>
      <c r="D8" s="48">
        <f>(ventilation!$D$4/44)*(-1.6528+10.3794*ventilation!C21)/24</f>
        <v>0.7237121212121213</v>
      </c>
      <c r="E8" s="48">
        <f t="shared" si="0"/>
        <v>6.155299291293478</v>
      </c>
      <c r="F8" s="48">
        <f t="shared" si="1"/>
        <v>1.7718101079545454</v>
      </c>
      <c r="G8" s="48">
        <f t="shared" si="2"/>
        <v>0.49216947443181813</v>
      </c>
      <c r="H8" s="48">
        <f t="shared" si="3"/>
        <v>4.3834891833389324</v>
      </c>
      <c r="I8" s="48">
        <f t="shared" si="4"/>
        <v>0.27567839827717944</v>
      </c>
      <c r="J8" s="44">
        <f>I8*44/22.4/(ventilation!$D$12-ventilation!$D$11)*1000</f>
        <v>0.2005596812863078</v>
      </c>
      <c r="K8" s="49">
        <f t="shared" si="10"/>
        <v>3.364138828847188</v>
      </c>
      <c r="L8" s="44">
        <f>($H8*1000-ventilation!$D$13*(3600*data!$E$3)*(ventilation!$D21-ventilation!D$9))/(0.35*3600*(ventilation!$D21-ventilation!D$9))</f>
        <v>0.28991330577638447</v>
      </c>
      <c r="M8" s="49">
        <f t="shared" si="5"/>
        <v>4.862934577411332</v>
      </c>
      <c r="N8" s="48">
        <f>0.622*ventilation!D$10/100*(532.183+54.2284*ventilation!D$9+2.0548*ventilation!D$9^2)/(101325-ventilation!D$10/100*(532.183+54.2284*ventilation!D$9+2.0548*ventilation!D$9^2))*1000</f>
        <v>4.52371641162175</v>
      </c>
      <c r="O8" s="44">
        <f t="shared" si="6"/>
        <v>0.06272932417108196</v>
      </c>
      <c r="P8" s="49">
        <f t="shared" si="7"/>
        <v>1.0522062749492724</v>
      </c>
      <c r="Q8" s="39" t="str">
        <f t="shared" si="8"/>
        <v>co2</v>
      </c>
      <c r="R8" s="49">
        <f t="shared" si="11"/>
        <v>3.364138828847188</v>
      </c>
      <c r="S8" s="44">
        <f t="shared" si="9"/>
        <v>0.2005596812863078</v>
      </c>
      <c r="T8" s="40">
        <f>S8*ventilation!$D$5</f>
        <v>100.2798406431539</v>
      </c>
    </row>
    <row r="9" spans="1:20" ht="36.75" customHeight="1">
      <c r="A9" s="39">
        <f t="shared" si="12"/>
        <v>4</v>
      </c>
      <c r="B9" s="39">
        <f>0.622*ventilation!E22/100*(532.183+54.2284*ventilation!$D22+2.0548*ventilation!$D22^2)/(101325-ventilation!E22/100*(532.183+54.2284*ventilation!$D22+2.0548*ventilation!$D22^2))*1000</f>
        <v>13.849932350711068</v>
      </c>
      <c r="C9" s="47">
        <f>ventilation!$D$4*EXP((0.20821682/0.042921358)*(1-EXP(-0.042921358*ventilation!C22)))</f>
        <v>71.87910544290561</v>
      </c>
      <c r="D9" s="48">
        <f>(ventilation!$D$4/44)*(-1.6528+10.3794*ventilation!C22)/24</f>
        <v>1.116871212121212</v>
      </c>
      <c r="E9" s="48">
        <f t="shared" si="0"/>
        <v>6.92912945765098</v>
      </c>
      <c r="F9" s="48">
        <f t="shared" si="1"/>
        <v>2.734352023295454</v>
      </c>
      <c r="G9" s="48">
        <f t="shared" si="2"/>
        <v>0.7595422286931817</v>
      </c>
      <c r="H9" s="48">
        <f t="shared" si="3"/>
        <v>4.194777434355526</v>
      </c>
      <c r="I9" s="48">
        <f t="shared" si="4"/>
        <v>0.291799459925788</v>
      </c>
      <c r="J9" s="44">
        <f>I9*44/22.4/(ventilation!$D$12-ventilation!$D$11)*1000</f>
        <v>0.21228796687722673</v>
      </c>
      <c r="K9" s="49">
        <f t="shared" si="10"/>
        <v>2.953403017040181</v>
      </c>
      <c r="L9" s="44">
        <f>($H9*1000-ventilation!$D$13*(3600*data!$E$3)*(ventilation!$D22-ventilation!D$9))/(0.35*3600*(ventilation!$D22-ventilation!D$9))</f>
        <v>0.3026534945422457</v>
      </c>
      <c r="M9" s="49">
        <f t="shared" si="5"/>
        <v>4.210590722816477</v>
      </c>
      <c r="N9" s="48">
        <f>0.622*ventilation!D$10/100*(532.183+54.2284*ventilation!D$9+2.0548*ventilation!D$9^2)/(101325-ventilation!D$10/100*(532.183+54.2284*ventilation!D$9+2.0548*ventilation!D$9^2))*1000</f>
        <v>4.52371641162175</v>
      </c>
      <c r="O9" s="44">
        <f t="shared" si="6"/>
        <v>0.1006353748622612</v>
      </c>
      <c r="P9" s="49">
        <f t="shared" si="7"/>
        <v>1.400064375344752</v>
      </c>
      <c r="Q9" s="39" t="str">
        <f t="shared" si="8"/>
        <v>co2</v>
      </c>
      <c r="R9" s="49">
        <f t="shared" si="11"/>
        <v>2.953403017040181</v>
      </c>
      <c r="S9" s="44">
        <f t="shared" si="9"/>
        <v>0.21228796687722673</v>
      </c>
      <c r="T9" s="40">
        <f>S9*ventilation!$D$5</f>
        <v>106.14398343861336</v>
      </c>
    </row>
    <row r="10" spans="1:20" ht="36.75" customHeight="1">
      <c r="A10" s="39">
        <f t="shared" si="12"/>
        <v>5</v>
      </c>
      <c r="B10" s="39">
        <f>0.622*ventilation!E23/100*(532.183+54.2284*ventilation!$D23+2.0548*ventilation!$D23^2)/(101325-ventilation!E23/100*(532.183+54.2284*ventilation!$D23+2.0548*ventilation!$D23^2))*1000</f>
        <v>13.474494436625417</v>
      </c>
      <c r="C10" s="47">
        <f>ventilation!$D$4*EXP((0.20821682/0.042921358)*(1-EXP(-0.042921358*ventilation!C23)))</f>
        <v>85.98500958128399</v>
      </c>
      <c r="D10" s="48">
        <f>(ventilation!$D$4/44)*(-1.6528+10.3794*ventilation!C23)/24</f>
        <v>1.5100303030303033</v>
      </c>
      <c r="E10" s="48">
        <f t="shared" si="0"/>
        <v>7.761532035612117</v>
      </c>
      <c r="F10" s="48">
        <f t="shared" si="1"/>
        <v>3.696893938636364</v>
      </c>
      <c r="G10" s="48">
        <f t="shared" si="2"/>
        <v>1.0269149829545454</v>
      </c>
      <c r="H10" s="48">
        <f t="shared" si="3"/>
        <v>4.064638096975752</v>
      </c>
      <c r="I10" s="48">
        <f t="shared" si="4"/>
        <v>0.31034449209651405</v>
      </c>
      <c r="J10" s="44">
        <f>I10*44/22.4/(ventilation!$D$12-ventilation!$D$11)*1000</f>
        <v>0.22577972308608826</v>
      </c>
      <c r="K10" s="49">
        <f t="shared" si="10"/>
        <v>2.6258033136886785</v>
      </c>
      <c r="L10" s="44">
        <f>($H10*1000-ventilation!$D$13*(3600*data!$E$3)*(ventilation!$D23-ventilation!D$9))/(0.35*3600*(ventilation!$D23-ventilation!D$9))</f>
        <v>0.32259032515680575</v>
      </c>
      <c r="M10" s="49">
        <f t="shared" si="5"/>
        <v>3.7517042415614577</v>
      </c>
      <c r="N10" s="48">
        <f>0.622*ventilation!D$10/100*(532.183+54.2284*ventilation!D$9+2.0548*ventilation!D$9^2)/(101325-ventilation!D$10/100*(532.183+54.2284*ventilation!D$9+2.0548*ventilation!D$9^2))*1000</f>
        <v>4.52371641162175</v>
      </c>
      <c r="O10" s="44">
        <f t="shared" si="6"/>
        <v>0.14176790265738243</v>
      </c>
      <c r="P10" s="49">
        <f t="shared" si="7"/>
        <v>1.6487513736143198</v>
      </c>
      <c r="Q10" s="39" t="str">
        <f t="shared" si="8"/>
        <v>co2</v>
      </c>
      <c r="R10" s="49">
        <f t="shared" si="11"/>
        <v>2.6258033136886785</v>
      </c>
      <c r="S10" s="44">
        <f t="shared" si="9"/>
        <v>0.22577972308608826</v>
      </c>
      <c r="T10" s="40">
        <f>S10*ventilation!$D$5</f>
        <v>112.88986154304413</v>
      </c>
    </row>
    <row r="11" spans="1:20" ht="36.75" customHeight="1">
      <c r="A11" s="39">
        <f t="shared" si="12"/>
        <v>6</v>
      </c>
      <c r="B11" s="39">
        <f>0.622*ventilation!E24/100*(532.183+54.2284*ventilation!$D24+2.0548*ventilation!$D24^2)/(101325-ventilation!E24/100*(532.183+54.2284*ventilation!$D24+2.0548*ventilation!$D24^2))*1000</f>
        <v>13.093147412191176</v>
      </c>
      <c r="C11" s="47">
        <f>ventilation!$D$4*EXP((0.20821682/0.042921358)*(1-EXP(-0.042921358*ventilation!C24)))</f>
        <v>102.08768321244548</v>
      </c>
      <c r="D11" s="48">
        <f>(ventilation!$D$4/44)*(-1.6528+10.3794*ventilation!C24)/24</f>
        <v>1.9031893939393942</v>
      </c>
      <c r="E11" s="48">
        <f t="shared" si="0"/>
        <v>8.652593293247891</v>
      </c>
      <c r="F11" s="48">
        <f t="shared" si="1"/>
        <v>4.659435853977272</v>
      </c>
      <c r="G11" s="48">
        <f t="shared" si="2"/>
        <v>1.294287737215909</v>
      </c>
      <c r="H11" s="48">
        <f t="shared" si="3"/>
        <v>3.993157439270619</v>
      </c>
      <c r="I11" s="48">
        <f t="shared" si="4"/>
        <v>0.3315146771194021</v>
      </c>
      <c r="J11" s="44">
        <f>I11*44/22.4/(ventilation!$D$12-ventilation!$D$11)*1000</f>
        <v>0.2411813127191417</v>
      </c>
      <c r="K11" s="49">
        <f t="shared" si="10"/>
        <v>2.3624917828455465</v>
      </c>
      <c r="L11" s="44">
        <f>($H11*1000-ventilation!$D$13*(3600*data!$E$3)*(ventilation!$D24-ventilation!D$9))/(0.35*3600*(ventilation!$D24-ventilation!D$9))</f>
        <v>0.3521302856499664</v>
      </c>
      <c r="M11" s="49">
        <f t="shared" si="5"/>
        <v>3.4492925548832347</v>
      </c>
      <c r="N11" s="48">
        <f>0.622*ventilation!D$10/100*(532.183+54.2284*ventilation!D$9+2.0548*ventilation!D$9^2)/(101325-ventilation!D$10/100*(532.183+54.2284*ventilation!D$9+2.0548*ventilation!D$9^2))*1000</f>
        <v>4.52371641162175</v>
      </c>
      <c r="O11" s="44">
        <f t="shared" si="6"/>
        <v>0.1866306897541031</v>
      </c>
      <c r="P11" s="49">
        <f t="shared" si="7"/>
        <v>1.8281411026413712</v>
      </c>
      <c r="Q11" s="39" t="str">
        <f t="shared" si="8"/>
        <v>co2</v>
      </c>
      <c r="R11" s="49">
        <f t="shared" si="11"/>
        <v>2.3624917828455465</v>
      </c>
      <c r="S11" s="44">
        <f t="shared" si="9"/>
        <v>0.2411813127191417</v>
      </c>
      <c r="T11" s="40">
        <f>S11*ventilation!$D$5</f>
        <v>120.59065635957084</v>
      </c>
    </row>
    <row r="12" spans="1:20" ht="36.75" customHeight="1">
      <c r="A12" s="39">
        <f t="shared" si="12"/>
        <v>7</v>
      </c>
      <c r="B12" s="39">
        <f>0.622*ventilation!E25/100*(532.183+54.2284*ventilation!$D25+2.0548*ventilation!$D25^2)/(101325-ventilation!E25/100*(532.183+54.2284*ventilation!$D25+2.0548*ventilation!$D25^2))*1000</f>
        <v>12.706622598834377</v>
      </c>
      <c r="C12" s="47">
        <f>ventilation!$D$4*EXP((0.20821682/0.042921358)*(1-EXP(-0.042921358*ventilation!C25)))</f>
        <v>120.33496528107261</v>
      </c>
      <c r="D12" s="48">
        <f>(ventilation!$D$4/44)*(-1.6528+10.3794*ventilation!C25)/24</f>
        <v>2.296348484848485</v>
      </c>
      <c r="E12" s="48">
        <f t="shared" si="0"/>
        <v>9.602009894500076</v>
      </c>
      <c r="F12" s="48">
        <f t="shared" si="1"/>
        <v>5.621977769318181</v>
      </c>
      <c r="G12" s="48">
        <f t="shared" si="2"/>
        <v>1.5616604914772725</v>
      </c>
      <c r="H12" s="48">
        <f t="shared" si="3"/>
        <v>3.9800321251818955</v>
      </c>
      <c r="I12" s="48">
        <f t="shared" si="4"/>
        <v>0.35550437885502617</v>
      </c>
      <c r="J12" s="44">
        <f>I12*44/22.4/(ventilation!$D$12-ventilation!$D$11)*1000</f>
        <v>0.2586341380559053</v>
      </c>
      <c r="K12" s="49">
        <f t="shared" si="10"/>
        <v>2.149285018297052</v>
      </c>
      <c r="L12" s="44">
        <f>($H12*1000-ventilation!$D$13*(3600*data!$E$3)*(ventilation!$D25-ventilation!D$9))/(0.35*3600*(ventilation!$D25-ventilation!D$9))</f>
        <v>0.3948444568632833</v>
      </c>
      <c r="M12" s="49">
        <f t="shared" si="5"/>
        <v>3.2812113747739455</v>
      </c>
      <c r="N12" s="48">
        <f>0.622*ventilation!D$10/100*(532.183+54.2284*ventilation!D$9+2.0548*ventilation!D$9^2)/(101325-ventilation!D$10/100*(532.183+54.2284*ventilation!D$9+2.0548*ventilation!D$9^2))*1000</f>
        <v>4.52371641162175</v>
      </c>
      <c r="O12" s="44">
        <f t="shared" si="6"/>
        <v>0.23582142639395168</v>
      </c>
      <c r="P12" s="49">
        <f t="shared" si="7"/>
        <v>1.9597082680261</v>
      </c>
      <c r="Q12" s="39" t="str">
        <f t="shared" si="8"/>
        <v>co2</v>
      </c>
      <c r="R12" s="49">
        <f t="shared" si="11"/>
        <v>2.149285018297052</v>
      </c>
      <c r="S12" s="44">
        <f t="shared" si="9"/>
        <v>0.2586341380559053</v>
      </c>
      <c r="T12" s="40">
        <f>S12*ventilation!$D$5</f>
        <v>129.31706902795264</v>
      </c>
    </row>
    <row r="13" spans="1:20" ht="36.75" customHeight="1">
      <c r="A13" s="39">
        <f t="shared" si="12"/>
        <v>8</v>
      </c>
      <c r="B13" s="39">
        <f>0.622*ventilation!E26/100*(532.183+54.2284*ventilation!$D26+2.0548*ventilation!$D26^2)/(101325-ventilation!E26/100*(532.183+54.2284*ventilation!$D26+2.0548*ventilation!$D26^2))*1000</f>
        <v>12.315648113914595</v>
      </c>
      <c r="C13" s="47">
        <f>ventilation!$D$4*EXP((0.20821682/0.042921358)*(1-EXP(-0.042921358*ventilation!C26)))</f>
        <v>140.86717376393256</v>
      </c>
      <c r="D13" s="48">
        <f>(ventilation!$D$4/44)*(-1.6528+10.3794*ventilation!C26)/24</f>
        <v>2.6895075757575757</v>
      </c>
      <c r="E13" s="48">
        <f t="shared" si="0"/>
        <v>10.609095074795517</v>
      </c>
      <c r="F13" s="48">
        <f t="shared" si="1"/>
        <v>6.58451968465909</v>
      </c>
      <c r="G13" s="48">
        <f t="shared" si="2"/>
        <v>1.829033245738636</v>
      </c>
      <c r="H13" s="48">
        <f t="shared" si="3"/>
        <v>4.024575390136428</v>
      </c>
      <c r="I13" s="48">
        <f t="shared" si="4"/>
        <v>0.3824980733474421</v>
      </c>
      <c r="J13" s="44">
        <f>I13*44/22.4/(ventilation!$D$12-ventilation!$D$11)*1000</f>
        <v>0.27827240785858887</v>
      </c>
      <c r="K13" s="49">
        <f t="shared" si="10"/>
        <v>1.9754240851379765</v>
      </c>
      <c r="L13" s="44">
        <f>($H13*1000-ventilation!$D$13*(3600*data!$E$3)*(ventilation!$D26-ventilation!D$9))/(0.35*3600*(ventilation!$D26-ventilation!D$9))</f>
        <v>0.45630106464131837</v>
      </c>
      <c r="M13" s="49">
        <f t="shared" si="5"/>
        <v>3.239229214650071</v>
      </c>
      <c r="N13" s="48">
        <f>0.622*ventilation!D$10/100*(532.183+54.2284*ventilation!D$9+2.0548*ventilation!D$9^2)/(101325-ventilation!D$10/100*(532.183+54.2284*ventilation!D$9+2.0548*ventilation!D$9^2))*1000</f>
        <v>4.52371641162175</v>
      </c>
      <c r="O13" s="44">
        <f t="shared" si="6"/>
        <v>0.29005521174309457</v>
      </c>
      <c r="P13" s="49">
        <f t="shared" si="7"/>
        <v>2.059068866031015</v>
      </c>
      <c r="Q13" s="39" t="str">
        <f t="shared" si="8"/>
        <v>vocht</v>
      </c>
      <c r="R13" s="49">
        <f t="shared" si="11"/>
        <v>2.059068866031015</v>
      </c>
      <c r="S13" s="44">
        <f t="shared" si="9"/>
        <v>0.29005521174309457</v>
      </c>
      <c r="T13" s="40">
        <f>S13*ventilation!$D$5</f>
        <v>145.02760587154728</v>
      </c>
    </row>
    <row r="14" spans="1:20" ht="36.75" customHeight="1">
      <c r="A14" s="39">
        <f t="shared" si="12"/>
        <v>9</v>
      </c>
      <c r="B14" s="39">
        <f>0.622*ventilation!E27/100*(532.183+54.2284*ventilation!$D27+2.0548*ventilation!$D27^2)/(101325-ventilation!E27/100*(532.183+54.2284*ventilation!$D27+2.0548*ventilation!$D27^2))*1000</f>
        <v>12.216701860352288</v>
      </c>
      <c r="C14" s="47">
        <f>ventilation!$D$4*EXP((0.20821682/0.042921358)*(1-EXP(-0.042921358*ventilation!C27)))</f>
        <v>163.8148630244471</v>
      </c>
      <c r="D14" s="48">
        <f>(ventilation!$D$4/44)*(-1.6528+10.3794*ventilation!C27)/24</f>
        <v>3.0826666666666664</v>
      </c>
      <c r="E14" s="48">
        <f t="shared" si="0"/>
        <v>11.672790166248868</v>
      </c>
      <c r="F14" s="48">
        <f t="shared" si="1"/>
        <v>7.547061599999998</v>
      </c>
      <c r="G14" s="48">
        <f t="shared" si="2"/>
        <v>2.0964059999999995</v>
      </c>
      <c r="H14" s="48">
        <f t="shared" si="3"/>
        <v>4.12572856624887</v>
      </c>
      <c r="I14" s="48">
        <f t="shared" si="4"/>
        <v>0.41266740041824057</v>
      </c>
      <c r="J14" s="44">
        <f>I14*44/22.4/(ventilation!$D$12-ventilation!$D$11)*1000</f>
        <v>0.3002209923677676</v>
      </c>
      <c r="K14" s="49">
        <f t="shared" si="10"/>
        <v>1.8326846955453837</v>
      </c>
      <c r="L14" s="44">
        <f>($H14*1000-ventilation!$D$13*(3600*data!$E$3)*(ventilation!$D27-ventilation!D$9))/(0.35*3600*(ventilation!$D27-ventilation!D$9))</f>
        <v>0.5037519616909486</v>
      </c>
      <c r="M14" s="49">
        <f t="shared" si="5"/>
        <v>3.0751297677779736</v>
      </c>
      <c r="N14" s="48">
        <f>0.622*ventilation!D$10/100*(532.183+54.2284*ventilation!D$9+2.0548*ventilation!D$9^2)/(101325-ventilation!D$10/100*(532.183+54.2284*ventilation!D$9+2.0548*ventilation!D$9^2))*1000</f>
        <v>4.52371641162175</v>
      </c>
      <c r="O14" s="44">
        <f t="shared" si="6"/>
        <v>0.3367322358452738</v>
      </c>
      <c r="P14" s="49">
        <f t="shared" si="7"/>
        <v>2.055565835897449</v>
      </c>
      <c r="Q14" s="39" t="str">
        <f t="shared" si="8"/>
        <v>vocht</v>
      </c>
      <c r="R14" s="49">
        <f t="shared" si="11"/>
        <v>2.055565835897449</v>
      </c>
      <c r="S14" s="44">
        <f t="shared" si="9"/>
        <v>0.3367322358452738</v>
      </c>
      <c r="T14" s="40">
        <f>S14*ventilation!$D$5</f>
        <v>168.3661179226369</v>
      </c>
    </row>
    <row r="15" spans="1:20" ht="36.75" customHeight="1">
      <c r="A15" s="39">
        <f t="shared" si="12"/>
        <v>10</v>
      </c>
      <c r="B15" s="39">
        <f>0.622*ventilation!E28/100*(532.183+54.2284*ventilation!$D28+2.0548*ventilation!$D28^2)/(101325-ventilation!E28/100*(532.183+54.2284*ventilation!$D28+2.0548*ventilation!$D28^2))*1000</f>
        <v>12.112168630148842</v>
      </c>
      <c r="C15" s="47">
        <f>ventilation!$D$4*EXP((0.20821682/0.042921358)*(1-EXP(-0.042921358*ventilation!C28)))</f>
        <v>189.2967281178417</v>
      </c>
      <c r="D15" s="48">
        <f>(ventilation!$D$4/44)*(-1.6528+10.3794*ventilation!C28)/24</f>
        <v>3.4758257575757576</v>
      </c>
      <c r="E15" s="48">
        <f t="shared" si="0"/>
        <v>12.791680950562771</v>
      </c>
      <c r="F15" s="48">
        <f t="shared" si="1"/>
        <v>8.509603515340908</v>
      </c>
      <c r="G15" s="48">
        <f t="shared" si="2"/>
        <v>2.363778754261363</v>
      </c>
      <c r="H15" s="48">
        <f t="shared" si="3"/>
        <v>4.282077435221863</v>
      </c>
      <c r="I15" s="48">
        <f t="shared" si="4"/>
        <v>0.4461684084565265</v>
      </c>
      <c r="J15" s="44">
        <f>I15*44/22.4/(ventilation!$D$12-ventilation!$D$11)*1000</f>
        <v>0.32459341885064763</v>
      </c>
      <c r="K15" s="49">
        <f t="shared" si="10"/>
        <v>1.71473338223036</v>
      </c>
      <c r="L15" s="44">
        <f>($H15*1000-ventilation!$D$13*(3600*data!$E$3)*(ventilation!$D28-ventilation!D$9))/(0.35*3600*(ventilation!$D28-ventilation!D$9))</f>
        <v>0.5664123591563311</v>
      </c>
      <c r="M15" s="49">
        <f t="shared" si="5"/>
        <v>2.992193075855627</v>
      </c>
      <c r="N15" s="48">
        <f>0.622*ventilation!D$10/100*(532.183+54.2284*ventilation!D$9+2.0548*ventilation!D$9^2)/(101325-ventilation!D$10/100*(532.183+54.2284*ventilation!D$9+2.0548*ventilation!D$9^2))*1000</f>
        <v>4.52371641162175</v>
      </c>
      <c r="O15" s="44">
        <f t="shared" si="6"/>
        <v>0.38490879260264144</v>
      </c>
      <c r="P15" s="49">
        <f t="shared" si="7"/>
        <v>2.033362099967341</v>
      </c>
      <c r="Q15" s="39" t="str">
        <f t="shared" si="8"/>
        <v>vocht</v>
      </c>
      <c r="R15" s="49">
        <f t="shared" si="11"/>
        <v>2.033362099967341</v>
      </c>
      <c r="S15" s="44">
        <f t="shared" si="9"/>
        <v>0.38490879260264144</v>
      </c>
      <c r="T15" s="40">
        <f>S15*ventilation!$D$5</f>
        <v>192.4543963013207</v>
      </c>
    </row>
    <row r="16" spans="1:20" ht="36.75" customHeight="1">
      <c r="A16" s="39">
        <f t="shared" si="12"/>
        <v>11</v>
      </c>
      <c r="B16" s="39">
        <f>0.622*ventilation!E29/100*(532.183+54.2284*ventilation!$D29+2.0548*ventilation!$D29^2)/(101325-ventilation!E29/100*(532.183+54.2284*ventilation!$D29+2.0548*ventilation!$D29^2))*1000</f>
        <v>12.002230883541753</v>
      </c>
      <c r="C16" s="47">
        <f>ventilation!$D$4*EXP((0.20821682/0.042921358)*(1-EXP(-0.042921358*ventilation!C29)))</f>
        <v>217.41770476551008</v>
      </c>
      <c r="D16" s="48">
        <f>(ventilation!$D$4/44)*(-1.6528+10.3794*ventilation!C29)/24</f>
        <v>3.8689848484848492</v>
      </c>
      <c r="E16" s="48">
        <f t="shared" si="0"/>
        <v>13.964018247721679</v>
      </c>
      <c r="F16" s="48">
        <f t="shared" si="1"/>
        <v>9.472145430681818</v>
      </c>
      <c r="G16" s="48">
        <f t="shared" si="2"/>
        <v>2.6311515085227275</v>
      </c>
      <c r="H16" s="48">
        <f t="shared" si="3"/>
        <v>4.4918728170398605</v>
      </c>
      <c r="I16" s="48">
        <f t="shared" si="4"/>
        <v>0.48313905645521615</v>
      </c>
      <c r="J16" s="44">
        <f>I16*44/22.4/(ventilation!$D$12-ventilation!$D$11)*1000</f>
        <v>0.35149005429942975</v>
      </c>
      <c r="K16" s="49">
        <f t="shared" si="10"/>
        <v>1.6166579197334445</v>
      </c>
      <c r="L16" s="44">
        <f>($H16*1000-ventilation!$D$13*(3600*data!$E$3)*(ventilation!$D29-ventilation!D$9))/(0.35*3600*(ventilation!$D29-ventilation!D$9))</f>
        <v>0.6481778956767476</v>
      </c>
      <c r="M16" s="49">
        <f t="shared" si="5"/>
        <v>2.981256270623508</v>
      </c>
      <c r="N16" s="48">
        <f>0.622*ventilation!D$10/100*(532.183+54.2284*ventilation!D$9+2.0548*ventilation!D$9^2)/(101325-ventilation!D$10/100*(532.183+54.2284*ventilation!D$9+2.0548*ventilation!D$9^2))*1000</f>
        <v>4.52371641162175</v>
      </c>
      <c r="O16" s="44">
        <f t="shared" si="6"/>
        <v>0.4347451334143499</v>
      </c>
      <c r="P16" s="49">
        <f t="shared" si="7"/>
        <v>1.9995847802883961</v>
      </c>
      <c r="Q16" s="39" t="str">
        <f t="shared" si="8"/>
        <v>vocht</v>
      </c>
      <c r="R16" s="49">
        <f t="shared" si="11"/>
        <v>1.9995847802883961</v>
      </c>
      <c r="S16" s="44">
        <f t="shared" si="9"/>
        <v>0.4347451334143499</v>
      </c>
      <c r="T16" s="40">
        <f>S16*ventilation!$D$5</f>
        <v>217.37256670717494</v>
      </c>
    </row>
    <row r="17" spans="1:20" ht="36.75" customHeight="1">
      <c r="A17" s="39">
        <f t="shared" si="12"/>
        <v>12</v>
      </c>
      <c r="B17" s="39">
        <f>0.622*ventilation!E30/100*(532.183+54.2284*ventilation!$D30+2.0548*ventilation!$D30^2)/(101325-ventilation!E30/100*(532.183+54.2284*ventilation!$D30+2.0548*ventilation!$D30^2))*1000</f>
        <v>11.887071115945098</v>
      </c>
      <c r="C17" s="47">
        <f>ventilation!$D$4*EXP((0.20821682/0.042921358)*(1-EXP(-0.042921358*ventilation!C30)))</f>
        <v>248.2673060705923</v>
      </c>
      <c r="D17" s="48">
        <f>(ventilation!$D$4/44)*(-1.6528+10.3794*ventilation!C30)/24</f>
        <v>4.2621439393939395</v>
      </c>
      <c r="E17" s="48">
        <f t="shared" si="0"/>
        <v>15.18774210216119</v>
      </c>
      <c r="F17" s="48">
        <f t="shared" si="1"/>
        <v>10.434687346022727</v>
      </c>
      <c r="G17" s="48">
        <f t="shared" si="2"/>
        <v>2.898524262784091</v>
      </c>
      <c r="H17" s="48">
        <f t="shared" si="3"/>
        <v>4.753054756138463</v>
      </c>
      <c r="I17" s="48">
        <f t="shared" si="4"/>
        <v>0.5236970272910078</v>
      </c>
      <c r="J17" s="44">
        <f>I17*44/22.4/(ventilation!$D$12-ventilation!$D$11)*1000</f>
        <v>0.38099651456356387</v>
      </c>
      <c r="K17" s="49">
        <f t="shared" si="10"/>
        <v>1.5346221803978948</v>
      </c>
      <c r="L17" s="44">
        <f>($H17*1000-ventilation!$D$13*(3600*data!$E$3)*(ventilation!$D30-ventilation!D$9))/(0.35*3600*(ventilation!$D30-ventilation!D$9))</f>
        <v>0.7544531358949941</v>
      </c>
      <c r="M17" s="49">
        <f t="shared" si="5"/>
        <v>3.0388742997858644</v>
      </c>
      <c r="N17" s="48">
        <f>0.622*ventilation!D$10/100*(532.183+54.2284*ventilation!D$9+2.0548*ventilation!D$9^2)/(101325-ventilation!D$10/100*(532.183+54.2284*ventilation!D$9+2.0548*ventilation!D$9^2))*1000</f>
        <v>4.52371641162175</v>
      </c>
      <c r="O17" s="44">
        <f t="shared" si="6"/>
        <v>0.48641328665220784</v>
      </c>
      <c r="P17" s="49">
        <f t="shared" si="7"/>
        <v>1.9592321451858874</v>
      </c>
      <c r="Q17" s="39" t="str">
        <f t="shared" si="8"/>
        <v>vocht</v>
      </c>
      <c r="R17" s="49">
        <f t="shared" si="11"/>
        <v>1.9592321451858874</v>
      </c>
      <c r="S17" s="44">
        <f t="shared" si="9"/>
        <v>0.48641328665220784</v>
      </c>
      <c r="T17" s="40">
        <f>S17*ventilation!$D$5</f>
        <v>243.20664332610392</v>
      </c>
    </row>
    <row r="18" spans="1:20" ht="36.75" customHeight="1">
      <c r="A18" s="39">
        <f t="shared" si="12"/>
        <v>13</v>
      </c>
      <c r="B18" s="39">
        <f>0.622*ventilation!E31/100*(532.183+54.2284*ventilation!$D31+2.0548*ventilation!$D31^2)/(101325-ventilation!E31/100*(532.183+54.2284*ventilation!$D31+2.0548*ventilation!$D31^2))*1000</f>
        <v>11.766871827702374</v>
      </c>
      <c r="C18" s="47">
        <f>ventilation!$D$4*EXP((0.20821682/0.042921358)*(1-EXP(-0.042921358*ventilation!C31)))</f>
        <v>281.9182284320039</v>
      </c>
      <c r="D18" s="48">
        <f>(ventilation!$D$4/44)*(-1.6528+10.3794*ventilation!C31)/24</f>
        <v>4.65530303030303</v>
      </c>
      <c r="E18" s="48">
        <f t="shared" si="0"/>
        <v>16.460508903876576</v>
      </c>
      <c r="F18" s="48">
        <f t="shared" si="1"/>
        <v>11.397229261363634</v>
      </c>
      <c r="G18" s="48">
        <f t="shared" si="2"/>
        <v>3.1658970170454537</v>
      </c>
      <c r="H18" s="48">
        <f t="shared" si="3"/>
        <v>5.063279642512942</v>
      </c>
      <c r="I18" s="48">
        <f t="shared" si="4"/>
        <v>0.5679378949195556</v>
      </c>
      <c r="J18" s="44">
        <f>I18*44/22.4/(ventilation!$D$12-ventilation!$D$11)*1000</f>
        <v>0.4131823309599942</v>
      </c>
      <c r="K18" s="49">
        <f t="shared" si="10"/>
        <v>1.465610554017971</v>
      </c>
      <c r="L18" s="44">
        <f>($H18*1000-ventilation!$D$13*(3600*data!$E$3)*(ventilation!$D31-ventilation!D$9))/(0.35*3600*(ventilation!$D31-ventilation!D$9))</f>
        <v>0.8929946459458451</v>
      </c>
      <c r="M18" s="49">
        <f t="shared" si="5"/>
        <v>3.167566180138746</v>
      </c>
      <c r="N18" s="48">
        <f>0.622*ventilation!D$10/100*(532.183+54.2284*ventilation!D$9+2.0548*ventilation!D$9^2)/(101325-ventilation!D$10/100*(532.183+54.2284*ventilation!D$9+2.0548*ventilation!D$9^2))*1000</f>
        <v>4.52371641162175</v>
      </c>
      <c r="O18" s="44">
        <f t="shared" si="6"/>
        <v>0.5400987730445075</v>
      </c>
      <c r="P18" s="49">
        <f t="shared" si="7"/>
        <v>1.9157994005867354</v>
      </c>
      <c r="Q18" s="39" t="str">
        <f t="shared" si="8"/>
        <v>vocht</v>
      </c>
      <c r="R18" s="49">
        <f t="shared" si="11"/>
        <v>1.9157994005867354</v>
      </c>
      <c r="S18" s="44">
        <f t="shared" si="9"/>
        <v>0.5400987730445075</v>
      </c>
      <c r="T18" s="40">
        <f>S18*ventilation!$D$5</f>
        <v>270.04938652225377</v>
      </c>
    </row>
    <row r="19" spans="1:20" ht="36.75" customHeight="1">
      <c r="A19" s="39">
        <f t="shared" si="12"/>
        <v>14</v>
      </c>
      <c r="B19" s="39">
        <f>0.622*ventilation!E32/100*(532.183+54.2284*ventilation!$D32+2.0548*ventilation!$D32^2)/(101325-ventilation!E32/100*(532.183+54.2284*ventilation!$D32+2.0548*ventilation!$D32^2))*1000</f>
        <v>11.64181549488874</v>
      </c>
      <c r="C19" s="47">
        <f>ventilation!$D$4*EXP((0.20821682/0.042921358)*(1-EXP(-0.042921358*ventilation!C32)))</f>
        <v>318.4252499698623</v>
      </c>
      <c r="D19" s="48">
        <f>(ventilation!$D$4/44)*(-1.6528+10.3794*ventilation!C32)/24</f>
        <v>5.04846212121212</v>
      </c>
      <c r="E19" s="48">
        <f t="shared" si="0"/>
        <v>17.779720777880865</v>
      </c>
      <c r="F19" s="48">
        <f t="shared" si="1"/>
        <v>12.359771176704541</v>
      </c>
      <c r="G19" s="48">
        <f t="shared" si="2"/>
        <v>3.4332697713068168</v>
      </c>
      <c r="H19" s="48">
        <f t="shared" si="3"/>
        <v>5.419949601176324</v>
      </c>
      <c r="I19" s="48">
        <f t="shared" si="4"/>
        <v>0.615933676135378</v>
      </c>
      <c r="J19" s="44">
        <f>I19*44/22.4/(ventilation!$D$12-ventilation!$D$11)*1000</f>
        <v>0.44809989665933586</v>
      </c>
      <c r="K19" s="49">
        <f t="shared" si="10"/>
        <v>1.4072373239928264</v>
      </c>
      <c r="L19" s="44">
        <f>($H19*1000-ventilation!$D$13*(3600*data!$E$3)*(ventilation!$D32-ventilation!D$9))/(0.35*3600*(ventilation!$D32-ventilation!D$9))</f>
        <v>1.075386825630223</v>
      </c>
      <c r="M19" s="49">
        <f t="shared" si="5"/>
        <v>3.3772033647834276</v>
      </c>
      <c r="N19" s="48">
        <f>0.622*ventilation!D$10/100*(532.183+54.2284*ventilation!D$9+2.0548*ventilation!D$9^2)/(101325-ventilation!D$10/100*(532.183+54.2284*ventilation!D$9+2.0548*ventilation!D$9^2))*1000</f>
        <v>4.52371641162175</v>
      </c>
      <c r="O19" s="44">
        <f t="shared" si="6"/>
        <v>0.5960025414437752</v>
      </c>
      <c r="P19" s="49">
        <f t="shared" si="7"/>
        <v>1.871718846103393</v>
      </c>
      <c r="Q19" s="39" t="str">
        <f t="shared" si="8"/>
        <v>vocht</v>
      </c>
      <c r="R19" s="49">
        <f t="shared" si="11"/>
        <v>1.871718846103393</v>
      </c>
      <c r="S19" s="44">
        <f t="shared" si="9"/>
        <v>0.5960025414437752</v>
      </c>
      <c r="T19" s="40">
        <f>S19*ventilation!$D$5</f>
        <v>298.0012707218876</v>
      </c>
    </row>
    <row r="20" spans="1:20" ht="36.75" customHeight="1">
      <c r="A20" s="39">
        <f t="shared" si="12"/>
        <v>15</v>
      </c>
      <c r="B20" s="39">
        <f>0.622*ventilation!E33/100*(532.183+54.2284*ventilation!$D33+2.0548*ventilation!$D33^2)/(101325-ventilation!E33/100*(532.183+54.2284*ventilation!$D33+2.0548*ventilation!$D33^2))*1000</f>
        <v>11.512084541166375</v>
      </c>
      <c r="C20" s="47">
        <f>ventilation!$D$4*EXP((0.20821682/0.042921358)*(1-EXP(-0.042921358*ventilation!C33)))</f>
        <v>357.82443551673674</v>
      </c>
      <c r="D20" s="48">
        <f>(ventilation!$D$4/44)*(-1.6528+10.3794*ventilation!C33)/24</f>
        <v>5.441621212121212</v>
      </c>
      <c r="E20" s="48">
        <f t="shared" si="0"/>
        <v>19.14255658906586</v>
      </c>
      <c r="F20" s="48">
        <f t="shared" si="1"/>
        <v>13.322313092045452</v>
      </c>
      <c r="G20" s="48">
        <f t="shared" si="2"/>
        <v>3.7006425255681807</v>
      </c>
      <c r="H20" s="48">
        <f t="shared" si="3"/>
        <v>5.82024349702041</v>
      </c>
      <c r="I20" s="48">
        <f t="shared" si="4"/>
        <v>0.6677317853738538</v>
      </c>
      <c r="J20" s="44">
        <f>I20*44/22.4/(ventilation!$D$12-ventilation!$D$11)*1000</f>
        <v>0.48578370629050216</v>
      </c>
      <c r="K20" s="49">
        <f t="shared" si="10"/>
        <v>1.357603500691557</v>
      </c>
      <c r="L20" s="44">
        <f>($H20*1000-ventilation!$D$13*(3600*data!$E$3)*(ventilation!$D33-ventilation!D$9))/(0.35*3600*(ventilation!$D33-ventilation!D$9))</f>
        <v>1.3197831059003198</v>
      </c>
      <c r="M20" s="49">
        <f t="shared" si="5"/>
        <v>3.688353770458442</v>
      </c>
      <c r="N20" s="48">
        <f>0.622*ventilation!D$10/100*(532.183+54.2284*ventilation!D$9+2.0548*ventilation!D$9^2)/(101325-ventilation!D$10/100*(532.183+54.2284*ventilation!D$9+2.0548*ventilation!D$9^2))*1000</f>
        <v>4.52371641162175</v>
      </c>
      <c r="O20" s="44">
        <f t="shared" si="6"/>
        <v>0.654343167072627</v>
      </c>
      <c r="P20" s="49">
        <f t="shared" si="7"/>
        <v>1.8286709965116983</v>
      </c>
      <c r="Q20" s="39" t="str">
        <f t="shared" si="8"/>
        <v>vocht</v>
      </c>
      <c r="R20" s="49">
        <f t="shared" si="11"/>
        <v>1.8286709965116983</v>
      </c>
      <c r="S20" s="44">
        <f t="shared" si="9"/>
        <v>0.654343167072627</v>
      </c>
      <c r="T20" s="40">
        <f>S20*ventilation!$D$5</f>
        <v>327.1715835363135</v>
      </c>
    </row>
    <row r="21" spans="1:20" ht="36.75" customHeight="1">
      <c r="A21" s="39">
        <f t="shared" si="12"/>
        <v>16</v>
      </c>
      <c r="B21" s="39">
        <f>0.622*ventilation!E34/100*(532.183+54.2284*ventilation!$D34+2.0548*ventilation!$D34^2)/(101325-ventilation!E34/100*(532.183+54.2284*ventilation!$D34+2.0548*ventilation!$D34^2))*1000</f>
        <v>11.37786131069574</v>
      </c>
      <c r="C21" s="47">
        <f>ventilation!$D$4*EXP((0.20821682/0.042921358)*(1-EXP(-0.042921358*ventilation!C34)))</f>
        <v>400.1326532294451</v>
      </c>
      <c r="D21" s="48">
        <f>(ventilation!$D$4/44)*(-1.6528+10.3794*ventilation!C34)/24</f>
        <v>5.8347803030303025</v>
      </c>
      <c r="E21" s="48">
        <f t="shared" si="0"/>
        <v>20.546003938124407</v>
      </c>
      <c r="F21" s="48">
        <f t="shared" si="1"/>
        <v>14.28485500738636</v>
      </c>
      <c r="G21" s="48">
        <f t="shared" si="2"/>
        <v>3.9680152798295443</v>
      </c>
      <c r="H21" s="48">
        <f t="shared" si="3"/>
        <v>6.261148930738047</v>
      </c>
      <c r="I21" s="48">
        <f t="shared" si="4"/>
        <v>0.7233543992007515</v>
      </c>
      <c r="J21" s="44">
        <f>I21*44/22.4/(ventilation!$D$12-ventilation!$D$11)*1000</f>
        <v>0.5262498935984304</v>
      </c>
      <c r="K21" s="49">
        <f t="shared" si="10"/>
        <v>1.315188573966911</v>
      </c>
      <c r="L21" s="44">
        <f>($H21*1000-ventilation!$D$13*(3600*data!$E$3)*(ventilation!$D34-ventilation!D$9))/(0.35*3600*(ventilation!$D34-ventilation!D$9))</f>
        <v>1.6563886060153563</v>
      </c>
      <c r="M21" s="49">
        <f t="shared" si="5"/>
        <v>4.139598687202231</v>
      </c>
      <c r="N21" s="48">
        <f>0.622*ventilation!D$10/100*(532.183+54.2284*ventilation!D$9+2.0548*ventilation!D$9^2)/(101325-ventilation!D$10/100*(532.183+54.2284*ventilation!D$9+2.0548*ventilation!D$9^2))*1000</f>
        <v>4.52371641162175</v>
      </c>
      <c r="O21" s="44">
        <f t="shared" si="6"/>
        <v>0.7153593624637229</v>
      </c>
      <c r="P21" s="49">
        <f t="shared" si="7"/>
        <v>1.7878055107227642</v>
      </c>
      <c r="Q21" s="39" t="str">
        <f t="shared" si="8"/>
        <v>vocht</v>
      </c>
      <c r="R21" s="49">
        <f t="shared" si="11"/>
        <v>1.7878055107227642</v>
      </c>
      <c r="S21" s="44">
        <f t="shared" si="9"/>
        <v>0.7153593624637229</v>
      </c>
      <c r="T21" s="40">
        <f>S21*ventilation!$D$5</f>
        <v>357.6796812318614</v>
      </c>
    </row>
    <row r="22" spans="1:20" ht="36.75" customHeight="1">
      <c r="A22" s="39">
        <f t="shared" si="12"/>
        <v>17</v>
      </c>
      <c r="B22" s="39">
        <f>0.622*ventilation!E35/100*(532.183+54.2284*ventilation!$D35+2.0548*ventilation!$D35^2)/(101325-ventilation!E35/100*(532.183+54.2284*ventilation!$D35+2.0548*ventilation!$D35^2))*1000</f>
        <v>11.335730143000498</v>
      </c>
      <c r="C22" s="47">
        <f>ventilation!$D$4*EXP((0.20821682/0.042921358)*(1-EXP(-0.042921358*ventilation!C35)))</f>
        <v>445.34739945250857</v>
      </c>
      <c r="D22" s="48">
        <f>(ventilation!$D$4/44)*(-1.6528+10.3794*ventilation!C35)/24</f>
        <v>6.227939393939393</v>
      </c>
      <c r="E22" s="48">
        <f t="shared" si="0"/>
        <v>21.98689156491705</v>
      </c>
      <c r="F22" s="48">
        <f t="shared" si="1"/>
        <v>15.247396922727269</v>
      </c>
      <c r="G22" s="48">
        <f t="shared" si="2"/>
        <v>4.235388034090908</v>
      </c>
      <c r="H22" s="48">
        <f t="shared" si="3"/>
        <v>6.739494642189783</v>
      </c>
      <c r="I22" s="48">
        <f t="shared" si="4"/>
        <v>0.7827982260602131</v>
      </c>
      <c r="J22" s="44">
        <f>I22*44/22.4/(ventilation!$D$12-ventilation!$D$11)*1000</f>
        <v>0.5694960639326947</v>
      </c>
      <c r="K22" s="49">
        <f t="shared" si="10"/>
        <v>1.278768136140032</v>
      </c>
      <c r="L22" s="44">
        <f>($H22*1000-ventilation!$D$13*(3600*data!$E$3)*(ventilation!$D35-ventilation!D$9))/(0.35*3600*(ventilation!$D35-ventilation!D$9))</f>
        <v>2.010829049465862</v>
      </c>
      <c r="M22" s="49">
        <f t="shared" si="5"/>
        <v>4.515192076877267</v>
      </c>
      <c r="N22" s="48">
        <f>0.622*ventilation!D$10/100*(532.183+54.2284*ventilation!D$9+2.0548*ventilation!D$9^2)/(101325-ventilation!D$10/100*(532.183+54.2284*ventilation!D$9+2.0548*ventilation!D$9^2))*1000</f>
        <v>4.52371641162175</v>
      </c>
      <c r="O22" s="44">
        <f t="shared" si="6"/>
        <v>0.768284199400195</v>
      </c>
      <c r="P22" s="49">
        <f t="shared" si="7"/>
        <v>1.725134581103856</v>
      </c>
      <c r="Q22" s="39" t="str">
        <f t="shared" si="8"/>
        <v>vocht</v>
      </c>
      <c r="R22" s="49">
        <f t="shared" si="11"/>
        <v>1.725134581103856</v>
      </c>
      <c r="S22" s="44">
        <f t="shared" si="9"/>
        <v>0.768284199400195</v>
      </c>
      <c r="T22" s="40">
        <f>S22*ventilation!$D$5</f>
        <v>384.1420997000975</v>
      </c>
    </row>
    <row r="23" spans="1:20" ht="36.75" customHeight="1">
      <c r="A23" s="39">
        <f t="shared" si="12"/>
        <v>18</v>
      </c>
      <c r="B23" s="39">
        <f>0.622*ventilation!E36/100*(532.183+54.2284*ventilation!$D36+2.0548*ventilation!$D36^2)/(101325-ventilation!E36/100*(532.183+54.2284*ventilation!$D36+2.0548*ventilation!$D36^2))*1000</f>
        <v>11.295878744876338</v>
      </c>
      <c r="C23" s="47">
        <f>ventilation!$D$4*EXP((0.20821682/0.042921358)*(1-EXP(-0.042921358*ventilation!C36)))</f>
        <v>493.4469208700515</v>
      </c>
      <c r="D23" s="48">
        <f>(ventilation!$D$4/44)*(-1.6528+10.3794*ventilation!C36)/24</f>
        <v>6.621098484848485</v>
      </c>
      <c r="E23" s="48">
        <f t="shared" si="0"/>
        <v>23.461921625687005</v>
      </c>
      <c r="F23" s="48">
        <f t="shared" si="1"/>
        <v>16.20993883806818</v>
      </c>
      <c r="G23" s="48">
        <f t="shared" si="2"/>
        <v>4.502760788352272</v>
      </c>
      <c r="H23" s="48">
        <f t="shared" si="3"/>
        <v>7.251982787618825</v>
      </c>
      <c r="I23" s="48">
        <f t="shared" si="4"/>
        <v>0.8460346668678568</v>
      </c>
      <c r="J23" s="44">
        <f>I23*44/22.4/(ventilation!$D$12-ventilation!$D$11)*1000</f>
        <v>0.6155014110811128</v>
      </c>
      <c r="K23" s="49">
        <f t="shared" si="10"/>
        <v>1.2473507991413815</v>
      </c>
      <c r="L23" s="44">
        <f>($H23*1000-ventilation!$D$13*(3600*data!$E$3)*(ventilation!$D36-ventilation!D$9))/(0.35*3600*(ventilation!$D36-ventilation!D$9))</f>
        <v>2.47018965447879</v>
      </c>
      <c r="M23" s="49">
        <f t="shared" si="5"/>
        <v>5.005988587634354</v>
      </c>
      <c r="N23" s="48">
        <f>0.622*ventilation!D$10/100*(532.183+54.2284*ventilation!D$9+2.0548*ventilation!D$9^2)/(101325-ventilation!D$10/100*(532.183+54.2284*ventilation!D$9+2.0548*ventilation!D$9^2))*1000</f>
        <v>4.52371641162175</v>
      </c>
      <c r="O23" s="44">
        <f t="shared" si="6"/>
        <v>0.8215911008620824</v>
      </c>
      <c r="P23" s="49">
        <f t="shared" si="7"/>
        <v>1.6650040077531403</v>
      </c>
      <c r="Q23" s="39" t="str">
        <f t="shared" si="8"/>
        <v>vocht</v>
      </c>
      <c r="R23" s="49">
        <f t="shared" si="11"/>
        <v>1.6650040077531403</v>
      </c>
      <c r="S23" s="44">
        <f t="shared" si="9"/>
        <v>0.8215911008620824</v>
      </c>
      <c r="T23" s="40">
        <f>S23*ventilation!$D$5</f>
        <v>410.7955504310412</v>
      </c>
    </row>
    <row r="24" spans="1:20" ht="36.75" customHeight="1">
      <c r="A24" s="39">
        <f t="shared" si="12"/>
        <v>19</v>
      </c>
      <c r="B24" s="39">
        <f>0.622*ventilation!E37/100*(532.183+54.2284*ventilation!$D37+2.0548*ventilation!$D37^2)/(101325-ventilation!E37/100*(532.183+54.2284*ventilation!$D37+2.0548*ventilation!$D37^2))*1000</f>
        <v>11.252373908094048</v>
      </c>
      <c r="C24" s="47">
        <f>ventilation!$D$4*EXP((0.20821682/0.042921358)*(1-EXP(-0.042921358*ventilation!C37)))</f>
        <v>544.3906164038418</v>
      </c>
      <c r="D24" s="48">
        <f>(ventilation!$D$4/44)*(-1.6528+10.3794*ventilation!C37)/24</f>
        <v>7.014257575757576</v>
      </c>
      <c r="E24" s="48">
        <f t="shared" si="0"/>
        <v>24.96770136715007</v>
      </c>
      <c r="F24" s="48">
        <f t="shared" si="1"/>
        <v>17.17248075340909</v>
      </c>
      <c r="G24" s="48">
        <f t="shared" si="2"/>
        <v>4.770133542613636</v>
      </c>
      <c r="H24" s="48">
        <f t="shared" si="3"/>
        <v>7.79522061374098</v>
      </c>
      <c r="I24" s="48">
        <f t="shared" si="4"/>
        <v>0.9130103433861309</v>
      </c>
      <c r="J24" s="44">
        <f>I24*44/22.4/(ventilation!$D$12-ventilation!$D$11)*1000</f>
        <v>0.6642271016698043</v>
      </c>
      <c r="K24" s="49">
        <f t="shared" si="10"/>
        <v>1.2201295938155277</v>
      </c>
      <c r="L24" s="44">
        <f>($H24*1000-ventilation!$D$13*(3600*data!$E$3)*(ventilation!$D37-ventilation!D$9))/(0.35*3600*(ventilation!$D37-ventilation!D$9))</f>
        <v>3.093341513389278</v>
      </c>
      <c r="M24" s="49">
        <f t="shared" si="5"/>
        <v>5.682209465371395</v>
      </c>
      <c r="N24" s="48">
        <f>0.622*ventilation!D$10/100*(532.183+54.2284*ventilation!D$9+2.0548*ventilation!D$9^2)/(101325-ventilation!D$10/100*(532.183+54.2284*ventilation!D$9+2.0548*ventilation!D$9^2))*1000</f>
        <v>4.52371641162175</v>
      </c>
      <c r="O24" s="44">
        <f t="shared" si="6"/>
        <v>0.8760044779163684</v>
      </c>
      <c r="P24" s="49">
        <f t="shared" si="7"/>
        <v>1.609146909443655</v>
      </c>
      <c r="Q24" s="39" t="str">
        <f t="shared" si="8"/>
        <v>vocht</v>
      </c>
      <c r="R24" s="49">
        <f t="shared" si="11"/>
        <v>1.609146909443655</v>
      </c>
      <c r="S24" s="44">
        <f t="shared" si="9"/>
        <v>0.8760044779163684</v>
      </c>
      <c r="T24" s="40">
        <f>S24*ventilation!$D$5</f>
        <v>438.0022389581842</v>
      </c>
    </row>
    <row r="25" spans="1:20" ht="36.75" customHeight="1">
      <c r="A25" s="39">
        <f t="shared" si="12"/>
        <v>20</v>
      </c>
      <c r="B25" s="39">
        <f>0.622*ventilation!E38/100*(532.183+54.2284*ventilation!$D38+2.0548*ventilation!$D38^2)/(101325-ventilation!E38/100*(532.183+54.2284*ventilation!$D38+2.0548*ventilation!$D38^2))*1000</f>
        <v>11.254285669024942</v>
      </c>
      <c r="C25" s="47">
        <f>ventilation!$D$4*EXP((0.20821682/0.042921358)*(1-EXP(-0.042921358*ventilation!C38)))</f>
        <v>598.1196958708194</v>
      </c>
      <c r="D25" s="48">
        <f>(ventilation!$D$4/44)*(-1.6528+10.3794*ventilation!C38)/24</f>
        <v>7.407416666666666</v>
      </c>
      <c r="E25" s="48">
        <f t="shared" si="0"/>
        <v>26.50077378122086</v>
      </c>
      <c r="F25" s="48">
        <f t="shared" si="1"/>
        <v>18.13502266875</v>
      </c>
      <c r="G25" s="48">
        <f t="shared" si="2"/>
        <v>5.037506296875</v>
      </c>
      <c r="H25" s="48">
        <f t="shared" si="3"/>
        <v>8.36575111247086</v>
      </c>
      <c r="I25" s="48">
        <f t="shared" si="4"/>
        <v>0.9836479641613664</v>
      </c>
      <c r="J25" s="44">
        <f>I25*44/22.4/(ventilation!$D$12-ventilation!$D$11)*1000</f>
        <v>0.7156169051438512</v>
      </c>
      <c r="K25" s="49">
        <f t="shared" si="10"/>
        <v>1.1964443071916637</v>
      </c>
      <c r="L25" s="44">
        <f>($H25*1000-ventilation!$D$13*(3600*data!$E$3)*(ventilation!$D38-ventilation!D$9))/(0.35*3600*(ventilation!$D38-ventilation!D$9))</f>
        <v>3.7939914342271472</v>
      </c>
      <c r="M25" s="49">
        <f t="shared" si="5"/>
        <v>6.343197624855619</v>
      </c>
      <c r="N25" s="48">
        <f>0.622*ventilation!D$10/100*(532.183+54.2284*ventilation!D$9+2.0548*ventilation!D$9^2)/(101325-ventilation!D$10/100*(532.183+54.2284*ventilation!D$9+2.0548*ventilation!D$9^2))*1000</f>
        <v>4.52371641162175</v>
      </c>
      <c r="O25" s="44">
        <f t="shared" si="6"/>
        <v>0.9248430036000881</v>
      </c>
      <c r="P25" s="49">
        <f t="shared" si="7"/>
        <v>1.5462507086538637</v>
      </c>
      <c r="Q25" s="39" t="str">
        <f t="shared" si="8"/>
        <v>vocht</v>
      </c>
      <c r="R25" s="49">
        <f t="shared" si="11"/>
        <v>1.5462507086538637</v>
      </c>
      <c r="S25" s="44">
        <f t="shared" si="9"/>
        <v>0.9248430036000881</v>
      </c>
      <c r="T25" s="40">
        <f>S25*ventilation!$D$5</f>
        <v>462.42150180004404</v>
      </c>
    </row>
    <row r="26" spans="1:20" ht="36.75" customHeight="1">
      <c r="A26" s="39">
        <f t="shared" si="12"/>
        <v>21</v>
      </c>
      <c r="B26" s="39">
        <f>0.622*ventilation!E39/100*(532.183+54.2284*ventilation!$D39+2.0548*ventilation!$D39^2)/(101325-ventilation!E39/100*(532.183+54.2284*ventilation!$D39+2.0548*ventilation!$D39^2))*1000</f>
        <v>11.253182045345474</v>
      </c>
      <c r="C26" s="47">
        <f>ventilation!$D$4*EXP((0.20821682/0.042921358)*(1-EXP(-0.042921358*ventilation!C39)))</f>
        <v>654.5580681614014</v>
      </c>
      <c r="D26" s="48">
        <f>(ventilation!$D$4/44)*(-1.6528+10.3794*ventilation!C39)/24</f>
        <v>7.800575757575758</v>
      </c>
      <c r="E26" s="48">
        <f t="shared" si="0"/>
        <v>28.057646886757674</v>
      </c>
      <c r="F26" s="48">
        <f t="shared" si="1"/>
        <v>19.09756458409091</v>
      </c>
      <c r="G26" s="48">
        <f t="shared" si="2"/>
        <v>5.304879051136364</v>
      </c>
      <c r="H26" s="48">
        <f t="shared" si="3"/>
        <v>8.960082302666763</v>
      </c>
      <c r="I26" s="48">
        <f t="shared" si="4"/>
        <v>1.0578474922117944</v>
      </c>
      <c r="J26" s="44">
        <f>I26*44/22.4/(ventilation!$D$12-ventilation!$D$11)*1000</f>
        <v>0.7695980432757764</v>
      </c>
      <c r="K26" s="49">
        <f t="shared" si="10"/>
        <v>1.175752130651315</v>
      </c>
      <c r="L26" s="44">
        <f>($H26*1000-ventilation!$D$13*(3600*data!$E$3)*(ventilation!$D39-ventilation!D$9))/(0.35*3600*(ventilation!$D39-ventilation!D$9))</f>
        <v>4.740784287125271</v>
      </c>
      <c r="M26" s="49">
        <f t="shared" si="5"/>
        <v>7.242725309981642</v>
      </c>
      <c r="N26" s="48">
        <f>0.622*ventilation!D$10/100*(532.183+54.2284*ventilation!D$9+2.0548*ventilation!D$9^2)/(101325-ventilation!D$10/100*(532.183+54.2284*ventilation!D$9+2.0548*ventilation!D$9^2))*1000</f>
        <v>4.52371641162175</v>
      </c>
      <c r="O26" s="44">
        <f t="shared" si="6"/>
        <v>0.9740900742230032</v>
      </c>
      <c r="P26" s="49">
        <f t="shared" si="7"/>
        <v>1.4881644908283544</v>
      </c>
      <c r="Q26" s="39" t="str">
        <f t="shared" si="8"/>
        <v>vocht</v>
      </c>
      <c r="R26" s="49">
        <f t="shared" si="11"/>
        <v>1.4881644908283544</v>
      </c>
      <c r="S26" s="44">
        <f t="shared" si="9"/>
        <v>0.9740900742230032</v>
      </c>
      <c r="T26" s="40">
        <f>S26*ventilation!$D$5</f>
        <v>487.0450371115016</v>
      </c>
    </row>
    <row r="27" spans="1:20" ht="36.75" customHeight="1">
      <c r="A27" s="39">
        <f t="shared" si="12"/>
        <v>22</v>
      </c>
      <c r="B27" s="39">
        <f>0.622*ventilation!E40/100*(532.183+54.2284*ventilation!$D40+2.0548*ventilation!$D40^2)/(101325-ventilation!E40/100*(532.183+54.2284*ventilation!$D40+2.0548*ventilation!$D40^2))*1000</f>
        <v>11.249107193663678</v>
      </c>
      <c r="C27" s="47">
        <f>ventilation!$D$4*EXP((0.20821682/0.042921358)*(1-EXP(-0.042921358*ventilation!C40)))</f>
        <v>713.6134286424005</v>
      </c>
      <c r="D27" s="48">
        <f>(ventilation!$D$4/44)*(-1.6528+10.3794*ventilation!C40)/24</f>
        <v>8.193734848484848</v>
      </c>
      <c r="E27" s="48">
        <f t="shared" si="0"/>
        <v>29.63482134728506</v>
      </c>
      <c r="F27" s="48">
        <f t="shared" si="1"/>
        <v>20.060106499431814</v>
      </c>
      <c r="G27" s="48">
        <f t="shared" si="2"/>
        <v>5.572251805397726</v>
      </c>
      <c r="H27" s="48">
        <f t="shared" si="3"/>
        <v>9.574714847853247</v>
      </c>
      <c r="I27" s="48">
        <f t="shared" si="4"/>
        <v>1.135487574636164</v>
      </c>
      <c r="J27" s="44">
        <f>I27*44/22.4/(ventilation!$D$12-ventilation!$D$11)*1000</f>
        <v>0.8260822302247224</v>
      </c>
      <c r="K27" s="49">
        <f t="shared" si="10"/>
        <v>1.1576046597053056</v>
      </c>
      <c r="L27" s="44">
        <f>($H27*1000-ventilation!$D$13*(3600*data!$E$3)*(ventilation!$D40-ventilation!D$9))/(0.35*3600*(ventilation!$D40-ventilation!D$9))</f>
        <v>6.079184030383014</v>
      </c>
      <c r="M27" s="49">
        <f t="shared" si="5"/>
        <v>8.518875607411474</v>
      </c>
      <c r="N27" s="48">
        <f>0.622*ventilation!D$10/100*(532.183+54.2284*ventilation!D$9+2.0548*ventilation!D$9^2)/(101325-ventilation!D$10/100*(532.183+54.2284*ventilation!D$9+2.0548*ventilation!D$9^2))*1000</f>
        <v>4.52371641162175</v>
      </c>
      <c r="O27" s="44">
        <f t="shared" si="6"/>
        <v>1.0238054103414438</v>
      </c>
      <c r="P27" s="49">
        <f t="shared" si="7"/>
        <v>1.434677893168521</v>
      </c>
      <c r="Q27" s="39" t="str">
        <f t="shared" si="8"/>
        <v>vocht</v>
      </c>
      <c r="R27" s="49">
        <f t="shared" si="11"/>
        <v>1.434677893168521</v>
      </c>
      <c r="S27" s="44">
        <f t="shared" si="9"/>
        <v>1.0238054103414438</v>
      </c>
      <c r="T27" s="40">
        <f>S27*ventilation!$D$5</f>
        <v>511.9027051707219</v>
      </c>
    </row>
    <row r="28" spans="1:20" ht="36.75" customHeight="1">
      <c r="A28" s="39">
        <f t="shared" si="12"/>
        <v>23</v>
      </c>
      <c r="B28" s="39">
        <f>0.622*ventilation!E41/100*(532.183+54.2284*ventilation!$D41+2.0548*ventilation!$D41^2)/(101325-ventilation!E41/100*(532.183+54.2284*ventilation!$D41+2.0548*ventilation!$D41^2))*1000</f>
        <v>11.242105352795356</v>
      </c>
      <c r="C28" s="47">
        <f>ventilation!$D$4*EXP((0.20821682/0.042921358)*(1-EXP(-0.042921358*ventilation!C41)))</f>
        <v>775.1785135812912</v>
      </c>
      <c r="D28" s="48">
        <f>(ventilation!$D$4/44)*(-1.6528+10.3794*ventilation!C41)/24</f>
        <v>8.586893939393939</v>
      </c>
      <c r="E28" s="48">
        <f t="shared" si="0"/>
        <v>31.22881619456972</v>
      </c>
      <c r="F28" s="48">
        <f t="shared" si="1"/>
        <v>21.022648414772725</v>
      </c>
      <c r="G28" s="48">
        <f t="shared" si="2"/>
        <v>5.83962455965909</v>
      </c>
      <c r="H28" s="48">
        <f t="shared" si="3"/>
        <v>10.206167779796996</v>
      </c>
      <c r="I28" s="48">
        <f t="shared" si="4"/>
        <v>1.2164271918053235</v>
      </c>
      <c r="J28" s="44">
        <f>I28*44/22.4/(ventilation!$D$12-ventilation!$D$11)*1000</f>
        <v>0.8849668723451428</v>
      </c>
      <c r="K28" s="49">
        <f t="shared" si="10"/>
        <v>1.1416297753876512</v>
      </c>
      <c r="L28" s="44">
        <f>($H28*1000-ventilation!$D$13*(3600*data!$E$3)*(ventilation!$D41-ventilation!D$9))/(0.35*3600*(ventilation!$D41-ventilation!D$9))</f>
        <v>8.100133158569044</v>
      </c>
      <c r="M28" s="49">
        <f t="shared" si="5"/>
        <v>10.44937780995345</v>
      </c>
      <c r="N28" s="48">
        <f>0.622*ventilation!D$10/100*(532.183+54.2284*ventilation!D$9+2.0548*ventilation!D$9^2)/(101325-ventilation!D$10/100*(532.183+54.2284*ventilation!D$9+2.0548*ventilation!D$9^2))*1000</f>
        <v>4.52371641162175</v>
      </c>
      <c r="O28" s="44">
        <f t="shared" si="6"/>
        <v>1.07404875233889</v>
      </c>
      <c r="P28" s="49">
        <f t="shared" si="7"/>
        <v>1.3855502100759103</v>
      </c>
      <c r="Q28" s="39" t="str">
        <f t="shared" si="8"/>
        <v>vocht</v>
      </c>
      <c r="R28" s="49">
        <f t="shared" si="11"/>
        <v>1.3855502100759103</v>
      </c>
      <c r="S28" s="44">
        <f t="shared" si="9"/>
        <v>1.07404875233889</v>
      </c>
      <c r="T28" s="40">
        <f>S28*ventilation!$D$5</f>
        <v>537.024376169445</v>
      </c>
    </row>
    <row r="29" spans="1:20" ht="36.75" customHeight="1">
      <c r="A29" s="39">
        <f t="shared" si="12"/>
        <v>24</v>
      </c>
      <c r="B29" s="39">
        <f>0.622*ventilation!E42/100*(532.183+54.2284*ventilation!$D42+2.0548*ventilation!$D42^2)/(101325-ventilation!E42/100*(532.183+54.2284*ventilation!$D42+2.0548*ventilation!$D42^2))*1000</f>
        <v>11.232220839646327</v>
      </c>
      <c r="C29" s="47">
        <f>ventilation!$D$4*EXP((0.20821682/0.042921358)*(1-EXP(-0.042921358*ventilation!C42)))</f>
        <v>839.1324885502069</v>
      </c>
      <c r="D29" s="48">
        <f>(ventilation!$D$4/44)*(-1.6528+10.3794*ventilation!C42)/24</f>
        <v>8.98005303030303</v>
      </c>
      <c r="E29" s="48">
        <f t="shared" si="0"/>
        <v>32.836192485876865</v>
      </c>
      <c r="F29" s="48">
        <f t="shared" si="1"/>
        <v>21.985190330113635</v>
      </c>
      <c r="G29" s="48">
        <f t="shared" si="2"/>
        <v>6.106997313920454</v>
      </c>
      <c r="H29" s="48">
        <f t="shared" si="3"/>
        <v>10.85100215576323</v>
      </c>
      <c r="I29" s="48">
        <f t="shared" si="4"/>
        <v>1.300507482696957</v>
      </c>
      <c r="J29" s="44">
        <f>I29*44/22.4/(ventilation!$D$12-ventilation!$D$11)*1000</f>
        <v>0.946136396141966</v>
      </c>
      <c r="K29" s="49">
        <f t="shared" si="10"/>
        <v>1.127517297985486</v>
      </c>
      <c r="L29" s="44">
        <f>($H29*1000-ventilation!$D$13*(3600*data!$E$3)*(ventilation!$D42-ventilation!D$9))/(0.35*3600*(ventilation!$D42-ventilation!D$9))</f>
        <v>11.482541963770613</v>
      </c>
      <c r="M29" s="49">
        <f t="shared" si="5"/>
        <v>13.683824807700306</v>
      </c>
      <c r="N29" s="48">
        <f>0.622*ventilation!D$10/100*(532.183+54.2284*ventilation!D$9+2.0548*ventilation!D$9^2)/(101325-ventilation!D$10/100*(532.183+54.2284*ventilation!D$9+2.0548*ventilation!D$9^2))*1000</f>
        <v>4.52371641162175</v>
      </c>
      <c r="O29" s="44">
        <f t="shared" si="6"/>
        <v>1.1248800879001475</v>
      </c>
      <c r="P29" s="49">
        <f t="shared" si="7"/>
        <v>1.3405273937654767</v>
      </c>
      <c r="Q29" s="39" t="str">
        <f t="shared" si="8"/>
        <v>vocht</v>
      </c>
      <c r="R29" s="49">
        <f t="shared" si="11"/>
        <v>1.3405273937654767</v>
      </c>
      <c r="S29" s="44">
        <f t="shared" si="9"/>
        <v>1.1248800879001475</v>
      </c>
      <c r="T29" s="40">
        <f>S29*ventilation!$D$5</f>
        <v>562.4400439500737</v>
      </c>
    </row>
    <row r="30" spans="1:20" ht="36.75" customHeight="1">
      <c r="A30" s="39">
        <f t="shared" si="12"/>
        <v>25</v>
      </c>
      <c r="B30" s="39">
        <f>0.622*ventilation!E43/100*(532.183+54.2284*ventilation!$D43+2.0548*ventilation!$D43^2)/(101325-ventilation!E43/100*(532.183+54.2284*ventilation!$D43+2.0548*ventilation!$D43^2))*1000</f>
        <v>11.219498045151193</v>
      </c>
      <c r="C30" s="47">
        <f>ventilation!$D$4*EXP((0.20821682/0.042921358)*(1-EXP(-0.042921358*ventilation!C43)))</f>
        <v>905.3424378890543</v>
      </c>
      <c r="D30" s="48">
        <f>(ventilation!$D$4/44)*(-1.6528+10.3794*ventilation!C43)/24</f>
        <v>9.373212121212122</v>
      </c>
      <c r="E30" s="48">
        <f t="shared" si="0"/>
        <v>34.453574776716614</v>
      </c>
      <c r="F30" s="48">
        <f t="shared" si="1"/>
        <v>22.947732245454546</v>
      </c>
      <c r="G30" s="48">
        <f t="shared" si="2"/>
        <v>6.374370068181818</v>
      </c>
      <c r="H30" s="48">
        <f t="shared" si="3"/>
        <v>11.505842531262068</v>
      </c>
      <c r="I30" s="48">
        <f t="shared" si="4"/>
        <v>1.3875537030927396</v>
      </c>
      <c r="J30" s="44">
        <f>I30*44/22.4/(ventilation!$D$12-ventilation!$D$11)*1000</f>
        <v>1.0094636728849296</v>
      </c>
      <c r="K30" s="49">
        <f t="shared" si="10"/>
        <v>1.115007571321466</v>
      </c>
      <c r="L30" s="44">
        <f>($H30*1000-ventilation!$D$13*(3600*data!$E$3)*(ventilation!$D43-ventilation!D$9))/(0.35*3600*(ventilation!$D43-ventilation!D$9))</f>
        <v>18.263242113114394</v>
      </c>
      <c r="M30" s="49">
        <f t="shared" si="5"/>
        <v>20.172744973380418</v>
      </c>
      <c r="N30" s="48">
        <f>0.622*ventilation!D$10/100*(532.183+54.2284*ventilation!D$9+2.0548*ventilation!D$9^2)/(101325-ventilation!D$10/100*(532.183+54.2284*ventilation!D$9+2.0548*ventilation!D$9^2))*1000</f>
        <v>4.52371641162175</v>
      </c>
      <c r="O30" s="44">
        <f t="shared" si="6"/>
        <v>1.1763598743889787</v>
      </c>
      <c r="P30" s="49">
        <f t="shared" si="7"/>
        <v>1.2993535099623115</v>
      </c>
      <c r="Q30" s="39" t="str">
        <f t="shared" si="8"/>
        <v>vocht</v>
      </c>
      <c r="R30" s="49">
        <f t="shared" si="11"/>
        <v>1.2993535099623115</v>
      </c>
      <c r="S30" s="44">
        <f t="shared" si="9"/>
        <v>1.1763598743889787</v>
      </c>
      <c r="T30" s="40">
        <f>S30*ventilation!$D$5</f>
        <v>588.1799371944894</v>
      </c>
    </row>
    <row r="31" spans="1:20" ht="36.75" customHeight="1">
      <c r="A31" s="39">
        <f t="shared" si="12"/>
        <v>26</v>
      </c>
      <c r="B31" s="39">
        <f>0.622*ventilation!E44/100*(532.183+54.2284*ventilation!$D44+2.0548*ventilation!$D44^2)/(101325-ventilation!E44/100*(532.183+54.2284*ventilation!$D44+2.0548*ventilation!$D44^2))*1000</f>
        <v>11.20398143026917</v>
      </c>
      <c r="C31" s="47">
        <f>ventilation!$D$4*EXP((0.20821682/0.042921358)*(1-EXP(-0.042921358*ventilation!C44)))</f>
        <v>973.6649232595576</v>
      </c>
      <c r="D31" s="48">
        <f>(ventilation!$D$4/44)*(-1.6528+10.3794*ventilation!C44)/24</f>
        <v>9.766371212121213</v>
      </c>
      <c r="E31" s="48">
        <f t="shared" si="0"/>
        <v>36.07767034018069</v>
      </c>
      <c r="F31" s="48">
        <f t="shared" si="1"/>
        <v>23.910274160795453</v>
      </c>
      <c r="G31" s="48">
        <f t="shared" si="2"/>
        <v>6.641742822443181</v>
      </c>
      <c r="H31" s="48">
        <f t="shared" si="3"/>
        <v>12.167396179385236</v>
      </c>
      <c r="I31" s="48">
        <f t="shared" si="4"/>
        <v>1.4773772746093403</v>
      </c>
      <c r="J31" s="44">
        <f>I31*44/22.4/(ventilation!$D$12-ventilation!$D$11)*1000</f>
        <v>1.0748115093057373</v>
      </c>
      <c r="K31" s="49">
        <f t="shared" si="10"/>
        <v>1.103882335318776</v>
      </c>
      <c r="L31" s="44">
        <f>($H31*1000-ventilation!$D$13*(3600*data!$E$3)*(ventilation!$D44-ventilation!D$9))/(0.35*3600*(ventilation!$D44-ventilation!D$9))</f>
        <v>38.62665453773091</v>
      </c>
      <c r="M31" s="49">
        <f t="shared" si="5"/>
        <v>39.67140400664705</v>
      </c>
      <c r="N31" s="48">
        <f>0.622*ventilation!D$10/100*(532.183+54.2284*ventilation!D$9+2.0548*ventilation!D$9^2)/(101325-ventilation!D$10/100*(532.183+54.2284*ventilation!D$9+2.0548*ventilation!D$9^2))*1000</f>
        <v>4.52371641162175</v>
      </c>
      <c r="O31" s="44">
        <f t="shared" si="6"/>
        <v>1.228549258019758</v>
      </c>
      <c r="P31" s="49">
        <f t="shared" si="7"/>
        <v>1.2617782860112892</v>
      </c>
      <c r="Q31" s="39" t="str">
        <f t="shared" si="8"/>
        <v>vocht</v>
      </c>
      <c r="R31" s="49">
        <f t="shared" si="11"/>
        <v>1.2617782860112892</v>
      </c>
      <c r="S31" s="44">
        <f t="shared" si="9"/>
        <v>1.228549258019758</v>
      </c>
      <c r="T31" s="40">
        <f>S31*ventilation!$D$5</f>
        <v>614.2746290098789</v>
      </c>
    </row>
    <row r="32" spans="1:20" ht="36.75" customHeight="1">
      <c r="A32" s="39">
        <f t="shared" si="12"/>
        <v>27</v>
      </c>
      <c r="B32" s="39">
        <f>0.622*ventilation!E45/100*(532.183+54.2284*ventilation!$D45+2.0548*ventilation!$D45^2)/(101325-ventilation!E45/100*(532.183+54.2284*ventilation!$D45+2.0548*ventilation!$D45^2))*1000</f>
        <v>11.185715522037576</v>
      </c>
      <c r="C32" s="47">
        <f>ventilation!$D$4*EXP((0.20821682/0.042921358)*(1-EXP(-0.042921358*ventilation!C45)))</f>
        <v>1043.9475809674584</v>
      </c>
      <c r="D32" s="48">
        <f>(ventilation!$D$4/44)*(-1.6528+10.3794*ventilation!C45)/24</f>
        <v>10.159530303030301</v>
      </c>
      <c r="E32" s="48">
        <f t="shared" si="0"/>
        <v>37.705286108094384</v>
      </c>
      <c r="F32" s="48">
        <f t="shared" si="1"/>
        <v>24.87281607613636</v>
      </c>
      <c r="G32" s="48">
        <f t="shared" si="2"/>
        <v>6.9091155767045445</v>
      </c>
      <c r="H32" s="48">
        <f t="shared" si="3"/>
        <v>12.832470031958024</v>
      </c>
      <c r="I32" s="48">
        <f t="shared" si="4"/>
        <v>1.5697778846979176</v>
      </c>
      <c r="J32" s="44">
        <f>I32*44/22.4/(ventilation!$D$12-ventilation!$D$11)*1000</f>
        <v>1.1420341753754693</v>
      </c>
      <c r="K32" s="49">
        <f t="shared" si="10"/>
        <v>1.0939573942181187</v>
      </c>
      <c r="L32" s="44" t="e">
        <f>($H32*1000-ventilation!$D$13*(3600*data!$E$3)*(ventilation!$D45-ventilation!D$9))/(0.35*3600*(ventilation!$D45-ventilation!D$9))</f>
        <v>#DIV/0!</v>
      </c>
      <c r="M32" s="49" t="e">
        <f t="shared" si="5"/>
        <v>#DIV/0!</v>
      </c>
      <c r="N32" s="48">
        <f>0.622*ventilation!D$10/100*(532.183+54.2284*ventilation!D$9+2.0548*ventilation!D$9^2)/(101325-ventilation!D$10/100*(532.183+54.2284*ventilation!D$9+2.0548*ventilation!D$9^2))*1000</f>
        <v>4.52371641162175</v>
      </c>
      <c r="O32" s="44">
        <f t="shared" si="6"/>
        <v>1.2815102916130012</v>
      </c>
      <c r="P32" s="49">
        <f t="shared" si="7"/>
        <v>1.2275619149626136</v>
      </c>
      <c r="Q32" s="39" t="e">
        <f t="shared" si="8"/>
        <v>#DIV/0!</v>
      </c>
      <c r="R32" s="49">
        <f t="shared" si="11"/>
        <v>1.2275619149626136</v>
      </c>
      <c r="S32" s="44">
        <f t="shared" si="9"/>
        <v>1.2815102916130012</v>
      </c>
      <c r="T32" s="40">
        <f>S32*ventilation!$D$5</f>
        <v>640.7551458065006</v>
      </c>
    </row>
    <row r="33" spans="1:20" ht="36.75" customHeight="1">
      <c r="A33" s="39">
        <f t="shared" si="12"/>
        <v>28</v>
      </c>
      <c r="B33" s="39">
        <f>0.622*ventilation!E46/100*(532.183+54.2284*ventilation!$D46+2.0548*ventilation!$D46^2)/(101325-ventilation!E46/100*(532.183+54.2284*ventilation!$D46+2.0548*ventilation!$D46^2))*1000</f>
        <v>11.164744909683407</v>
      </c>
      <c r="C33" s="47">
        <f>ventilation!$D$4*EXP((0.20821682/0.042921358)*(1-EXP(-0.042921358*ventilation!C46)))</f>
        <v>1116.030729927279</v>
      </c>
      <c r="D33" s="48">
        <f>(ventilation!$D$4/44)*(-1.6528+10.3794*ventilation!C46)/24</f>
        <v>10.552689393939394</v>
      </c>
      <c r="E33" s="48">
        <f t="shared" si="0"/>
        <v>39.33334334791893</v>
      </c>
      <c r="F33" s="48">
        <f t="shared" si="1"/>
        <v>25.83535799147727</v>
      </c>
      <c r="G33" s="48">
        <f t="shared" si="2"/>
        <v>7.176488330965908</v>
      </c>
      <c r="H33" s="48">
        <f t="shared" si="3"/>
        <v>13.497985356441657</v>
      </c>
      <c r="I33" s="48">
        <f t="shared" si="4"/>
        <v>1.6645456006353936</v>
      </c>
      <c r="J33" s="44">
        <f>I33*44/22.4/(ventilation!$D$12-ventilation!$D$11)*1000</f>
        <v>1.2109789422611992</v>
      </c>
      <c r="K33" s="49">
        <f t="shared" si="10"/>
        <v>1.085076700656896</v>
      </c>
      <c r="L33" s="44">
        <f>($H33*1000-ventilation!$D$13*(3600*data!$E$3)*(ventilation!$D46-ventilation!D$9))/(0.35*3600*(ventilation!$D46-ventilation!D$9))</f>
        <v>-42.85074716330685</v>
      </c>
      <c r="M33" s="49">
        <f t="shared" si="5"/>
        <v>-38.395669594240495</v>
      </c>
      <c r="N33" s="48">
        <f>0.622*ventilation!D$10/100*(532.183+54.2284*ventilation!D$9+2.0548*ventilation!D$9^2)/(101325-ventilation!D$10/100*(532.183+54.2284*ventilation!D$9+2.0548*ventilation!D$9^2))*1000</f>
        <v>4.52371641162175</v>
      </c>
      <c r="O33" s="44">
        <f t="shared" si="6"/>
        <v>1.3353061526513148</v>
      </c>
      <c r="P33" s="49">
        <f t="shared" si="7"/>
        <v>1.1964779435225086</v>
      </c>
      <c r="Q33" s="39" t="str">
        <f t="shared" si="8"/>
        <v>vocht</v>
      </c>
      <c r="R33" s="49">
        <f t="shared" si="11"/>
        <v>1.1964779435225086</v>
      </c>
      <c r="S33" s="44">
        <f t="shared" si="9"/>
        <v>1.3353061526513148</v>
      </c>
      <c r="T33" s="40">
        <f>S33*ventilation!$D$5</f>
        <v>667.6530763256574</v>
      </c>
    </row>
    <row r="34" spans="1:20" ht="36.75" customHeight="1">
      <c r="A34" s="39">
        <f t="shared" si="12"/>
        <v>29</v>
      </c>
      <c r="B34" s="39">
        <f>0.622*ventilation!E47/100*(532.183+54.2284*ventilation!$D47+2.0548*ventilation!$D47^2)/(101325-ventilation!E47/100*(532.183+54.2284*ventilation!$D47+2.0548*ventilation!$D47^2))*1000</f>
        <v>11.110954317976214</v>
      </c>
      <c r="C34" s="47">
        <f>ventilation!$D$4*EXP((0.20821682/0.042921358)*(1-EXP(-0.042921358*ventilation!C47)))</f>
        <v>1189.7489647546322</v>
      </c>
      <c r="D34" s="48">
        <f>(ventilation!$D$4/44)*(-1.6528+10.3794*ventilation!C47)/24</f>
        <v>10.945848484848483</v>
      </c>
      <c r="E34" s="48">
        <f t="shared" si="0"/>
        <v>40.958890122571255</v>
      </c>
      <c r="F34" s="48">
        <f t="shared" si="1"/>
        <v>26.797899906818177</v>
      </c>
      <c r="G34" s="48">
        <f t="shared" si="2"/>
        <v>7.4438610852272715</v>
      </c>
      <c r="H34" s="48">
        <f t="shared" si="3"/>
        <v>14.160990215753078</v>
      </c>
      <c r="I34" s="48">
        <f t="shared" si="4"/>
        <v>1.7614629639629151</v>
      </c>
      <c r="J34" s="44">
        <f>I34*44/22.4/(ventilation!$D$12-ventilation!$D$11)*1000</f>
        <v>1.2814876060576765</v>
      </c>
      <c r="K34" s="49">
        <f t="shared" si="10"/>
        <v>1.0771075613601933</v>
      </c>
      <c r="L34" s="44">
        <f>($H34*1000-ventilation!$D$13*(3600*data!$E$3)*(ventilation!$D47-ventilation!D$9))/(0.35*3600*(ventilation!$D47-ventilation!D$9))</f>
        <v>-22.47776224722711</v>
      </c>
      <c r="M34" s="49">
        <f t="shared" si="5"/>
        <v>-18.892861362449523</v>
      </c>
      <c r="N34" s="48">
        <f>0.622*ventilation!D$10/100*(532.183+54.2284*ventilation!D$9+2.0548*ventilation!D$9^2)/(101325-ventilation!D$10/100*(532.183+54.2284*ventilation!D$9+2.0548*ventilation!D$9^2))*1000</f>
        <v>4.52371641162175</v>
      </c>
      <c r="O34" s="44">
        <f t="shared" si="6"/>
        <v>1.3963655381569264</v>
      </c>
      <c r="P34" s="49">
        <f t="shared" si="7"/>
        <v>1.1736640077219196</v>
      </c>
      <c r="Q34" s="39" t="str">
        <f t="shared" si="8"/>
        <v>vocht</v>
      </c>
      <c r="R34" s="49">
        <f t="shared" si="11"/>
        <v>1.1736640077219196</v>
      </c>
      <c r="S34" s="44">
        <f t="shared" si="9"/>
        <v>1.3963655381569264</v>
      </c>
      <c r="T34" s="40">
        <f>S34*ventilation!$D$5</f>
        <v>698.1827690784633</v>
      </c>
    </row>
    <row r="35" spans="1:20" ht="36.75" customHeight="1">
      <c r="A35" s="39">
        <f t="shared" si="12"/>
        <v>30</v>
      </c>
      <c r="B35" s="39">
        <f>0.622*ventilation!E48/100*(532.183+54.2284*ventilation!$D48+2.0548*ventilation!$D48^2)/(101325-ventilation!E48/100*(532.183+54.2284*ventilation!$D48+2.0548*ventilation!$D48^2))*1000</f>
        <v>10.951377796927815</v>
      </c>
      <c r="C35" s="47">
        <f>ventilation!$D$4*EXP((0.20821682/0.042921358)*(1-EXP(-0.042921358*ventilation!C48)))</f>
        <v>1264.9327113644556</v>
      </c>
      <c r="D35" s="48">
        <f>(ventilation!$D$4/44)*(-1.6528+10.3794*ventilation!C48)/24</f>
        <v>11.339007575757575</v>
      </c>
      <c r="E35" s="48">
        <f t="shared" si="0"/>
        <v>42.57911160817238</v>
      </c>
      <c r="F35" s="48">
        <f t="shared" si="1"/>
        <v>27.760441822159088</v>
      </c>
      <c r="G35" s="48">
        <f t="shared" si="2"/>
        <v>7.711233839488635</v>
      </c>
      <c r="H35" s="48">
        <f t="shared" si="3"/>
        <v>14.818669786013295</v>
      </c>
      <c r="I35" s="48">
        <f t="shared" si="4"/>
        <v>1.8603070356308498</v>
      </c>
      <c r="J35" s="44">
        <f>I35*44/22.4/(ventilation!$D$12-ventilation!$D$11)*1000</f>
        <v>1.3533979756573642</v>
      </c>
      <c r="K35" s="49">
        <f t="shared" si="10"/>
        <v>1.06993673536791</v>
      </c>
      <c r="L35" s="44">
        <f>($H35*1000-ventilation!$D$13*(3600*data!$E$3)*(ventilation!$D48-ventilation!D$9))/(0.35*3600*(ventilation!$D48-ventilation!D$9))</f>
        <v>-15.681132048691317</v>
      </c>
      <c r="M35" s="49">
        <f t="shared" si="5"/>
        <v>-12.396811235734761</v>
      </c>
      <c r="N35" s="48">
        <f>0.622*ventilation!D$10/100*(532.183+54.2284*ventilation!D$9+2.0548*ventilation!D$9^2)/(101325-ventilation!D$10/100*(532.183+54.2284*ventilation!D$9+2.0548*ventilation!D$9^2))*1000</f>
        <v>4.52371641162175</v>
      </c>
      <c r="O35" s="44">
        <f t="shared" si="6"/>
        <v>1.4824330691310281</v>
      </c>
      <c r="P35" s="49">
        <f t="shared" si="7"/>
        <v>1.1719461879770345</v>
      </c>
      <c r="Q35" s="39" t="str">
        <f t="shared" si="8"/>
        <v>vocht</v>
      </c>
      <c r="R35" s="49">
        <f t="shared" si="11"/>
        <v>1.1719461879770345</v>
      </c>
      <c r="S35" s="44">
        <f t="shared" si="9"/>
        <v>1.4824330691310281</v>
      </c>
      <c r="T35" s="40">
        <f>S35*ventilation!$D$5</f>
        <v>741.216534565514</v>
      </c>
    </row>
    <row r="36" spans="1:20" ht="36.75" customHeight="1">
      <c r="A36" s="39">
        <f t="shared" si="12"/>
        <v>31</v>
      </c>
      <c r="B36" s="39">
        <f>0.622*ventilation!E49/100*(532.183+54.2284*ventilation!$D49+2.0548*ventilation!$D49^2)/(101325-ventilation!E49/100*(532.183+54.2284*ventilation!$D49+2.0548*ventilation!$D49^2))*1000</f>
        <v>10.793105628290451</v>
      </c>
      <c r="C36" s="47">
        <f>ventilation!$D$4*EXP((0.20821682/0.042921358)*(1-EXP(-0.042921358*ventilation!C49)))</f>
        <v>1341.4097255107752</v>
      </c>
      <c r="D36" s="48">
        <f>(ventilation!$D$4/44)*(-1.6528+10.3794*ventilation!C49)/24</f>
        <v>11.732166666666666</v>
      </c>
      <c r="E36" s="48">
        <f t="shared" si="0"/>
        <v>44.191338367412335</v>
      </c>
      <c r="F36" s="48">
        <f t="shared" si="1"/>
        <v>28.722983737499998</v>
      </c>
      <c r="G36" s="48">
        <f t="shared" si="2"/>
        <v>7.9786065937499995</v>
      </c>
      <c r="H36" s="48">
        <f t="shared" si="3"/>
        <v>15.468354629912337</v>
      </c>
      <c r="I36" s="48">
        <f t="shared" si="4"/>
        <v>1.9608513661290161</v>
      </c>
      <c r="J36" s="44">
        <f>I36*44/22.4/(ventilation!$D$12-ventilation!$D$11)*1000</f>
        <v>1.426545306046242</v>
      </c>
      <c r="K36" s="49">
        <f t="shared" si="10"/>
        <v>1.0634672456270209</v>
      </c>
      <c r="L36" s="44">
        <f>($H36*1000-ventilation!$D$13*(3600*data!$E$3)*(ventilation!$D49-ventilation!D$9))/(0.35*3600*(ventilation!$D49-ventilation!D$9))</f>
        <v>-12.276471928501856</v>
      </c>
      <c r="M36" s="49">
        <f t="shared" si="5"/>
        <v>-9.151918086643724</v>
      </c>
      <c r="N36" s="48">
        <f>0.622*ventilation!D$10/100*(532.183+54.2284*ventilation!D$9+2.0548*ventilation!D$9^2)/(101325-ventilation!D$10/100*(532.183+54.2284*ventilation!D$9+2.0548*ventilation!D$9^2))*1000</f>
        <v>4.52371641162175</v>
      </c>
      <c r="O36" s="44">
        <f t="shared" si="6"/>
        <v>1.5725556740394604</v>
      </c>
      <c r="P36" s="49">
        <f t="shared" si="7"/>
        <v>1.1723156945508733</v>
      </c>
      <c r="Q36" s="39" t="str">
        <f t="shared" si="8"/>
        <v>vocht</v>
      </c>
      <c r="R36" s="49">
        <f t="shared" si="11"/>
        <v>1.1723156945508733</v>
      </c>
      <c r="S36" s="44">
        <f t="shared" si="9"/>
        <v>1.5725556740394604</v>
      </c>
      <c r="T36" s="40">
        <f>S36*ventilation!$D$5</f>
        <v>786.2778370197302</v>
      </c>
    </row>
    <row r="37" spans="1:20" ht="36.75" customHeight="1">
      <c r="A37" s="39">
        <f t="shared" si="12"/>
        <v>32</v>
      </c>
      <c r="B37" s="39">
        <f>0.622*ventilation!E50/100*(532.183+54.2284*ventilation!$D50+2.0548*ventilation!$D50^2)/(101325-ventilation!E50/100*(532.183+54.2284*ventilation!$D50+2.0548*ventilation!$D50^2))*1000</f>
        <v>10.636135915680333</v>
      </c>
      <c r="C37" s="47">
        <f>ventilation!$D$4*EXP((0.20821682/0.042921358)*(1-EXP(-0.042921358*ventilation!C50)))</f>
        <v>1419.0065178190491</v>
      </c>
      <c r="D37" s="48">
        <f>(ventilation!$D$4/44)*(-1.6528+10.3794*ventilation!C50)/24</f>
        <v>12.125325757575759</v>
      </c>
      <c r="E37" s="48">
        <f t="shared" si="0"/>
        <v>45.79305269403469</v>
      </c>
      <c r="F37" s="48">
        <f t="shared" si="1"/>
        <v>29.68552565284091</v>
      </c>
      <c r="G37" s="48">
        <f t="shared" si="2"/>
        <v>8.245979348011364</v>
      </c>
      <c r="H37" s="48">
        <f t="shared" si="3"/>
        <v>16.107527041193784</v>
      </c>
      <c r="I37" s="48">
        <f t="shared" si="4"/>
        <v>2.0628678689767037</v>
      </c>
      <c r="J37" s="44">
        <f>I37*44/22.4/(ventilation!$D$12-ventilation!$D$11)*1000</f>
        <v>1.5007636612925757</v>
      </c>
      <c r="K37" s="49">
        <f t="shared" si="10"/>
        <v>1.0576157631743537</v>
      </c>
      <c r="L37" s="44">
        <f>($H37*1000-ventilation!$D$13*(3600*data!$E$3)*(ventilation!$D50-ventilation!D$9))/(0.35*3600*(ventilation!$D50-ventilation!D$9))</f>
        <v>-10.227001295996054</v>
      </c>
      <c r="M37" s="49">
        <f t="shared" si="5"/>
        <v>-7.20715596973755</v>
      </c>
      <c r="N37" s="48">
        <f>0.622*ventilation!D$10/100*(532.183+54.2284*ventilation!D$9+2.0548*ventilation!D$9^2)/(101325-ventilation!D$10/100*(532.183+54.2284*ventilation!D$9+2.0548*ventilation!D$9^2))*1000</f>
        <v>4.52371641162175</v>
      </c>
      <c r="O37" s="44">
        <f t="shared" si="6"/>
        <v>1.6669911758099165</v>
      </c>
      <c r="P37" s="49">
        <f t="shared" si="7"/>
        <v>1.1747593509098244</v>
      </c>
      <c r="Q37" s="39" t="str">
        <f t="shared" si="8"/>
        <v>vocht</v>
      </c>
      <c r="R37" s="49">
        <f t="shared" si="11"/>
        <v>1.1747593509098244</v>
      </c>
      <c r="S37" s="44">
        <f t="shared" si="9"/>
        <v>1.6669911758099165</v>
      </c>
      <c r="T37" s="40">
        <f>S37*ventilation!$D$5</f>
        <v>833.4955879049583</v>
      </c>
    </row>
    <row r="38" spans="1:20" ht="36.75" customHeight="1">
      <c r="A38" s="39">
        <f t="shared" si="12"/>
        <v>33</v>
      </c>
      <c r="B38" s="39">
        <f>0.622*ventilation!E51/100*(532.183+54.2284*ventilation!$D51+2.0548*ventilation!$D51^2)/(101325-ventilation!E51/100*(532.183+54.2284*ventilation!$D51+2.0548*ventilation!$D51^2))*1000</f>
        <v>10.480466779709785</v>
      </c>
      <c r="C38" s="47">
        <f>ventilation!$D$4*EXP((0.20821682/0.042921358)*(1-EXP(-0.042921358*ventilation!C51)))</f>
        <v>1497.5496919456077</v>
      </c>
      <c r="D38" s="48">
        <f>(ventilation!$D$4/44)*(-1.6528+10.3794*ventilation!C51)/24</f>
        <v>12.518484848484848</v>
      </c>
      <c r="E38" s="48">
        <f t="shared" si="0"/>
        <v>47.38189315727846</v>
      </c>
      <c r="F38" s="48">
        <f t="shared" si="1"/>
        <v>30.648067568181816</v>
      </c>
      <c r="G38" s="48">
        <f t="shared" si="2"/>
        <v>8.513352102272727</v>
      </c>
      <c r="H38" s="48">
        <f t="shared" si="3"/>
        <v>16.733825589096647</v>
      </c>
      <c r="I38" s="48">
        <f t="shared" si="4"/>
        <v>2.1661285800008905</v>
      </c>
      <c r="J38" s="44">
        <f>I38*44/22.4/(ventilation!$D$12-ventilation!$D$11)*1000</f>
        <v>1.5758871944450923</v>
      </c>
      <c r="K38" s="49">
        <f t="shared" si="10"/>
        <v>1.052310452815565</v>
      </c>
      <c r="L38" s="44">
        <f>($H38*1000-ventilation!$D$13*(3600*data!$E$3)*(ventilation!$D51-ventilation!D$9))/(0.35*3600*(ventilation!$D51-ventilation!D$9))</f>
        <v>-8.853875973067009</v>
      </c>
      <c r="M38" s="49">
        <f t="shared" si="5"/>
        <v>-5.912241857940691</v>
      </c>
      <c r="N38" s="48">
        <f>0.622*ventilation!D$10/100*(532.183+54.2284*ventilation!D$9+2.0548*ventilation!D$9^2)/(101325-ventilation!D$10/100*(532.183+54.2284*ventilation!D$9+2.0548*ventilation!D$9^2))*1000</f>
        <v>4.52371641162175</v>
      </c>
      <c r="O38" s="44">
        <f t="shared" si="6"/>
        <v>1.7660191407635835</v>
      </c>
      <c r="P38" s="49">
        <f t="shared" si="7"/>
        <v>1.1792724810815338</v>
      </c>
      <c r="Q38" s="39" t="str">
        <f t="shared" si="8"/>
        <v>vocht</v>
      </c>
      <c r="R38" s="49">
        <f t="shared" si="11"/>
        <v>1.1792724810815338</v>
      </c>
      <c r="S38" s="44">
        <f t="shared" si="9"/>
        <v>1.7660191407635835</v>
      </c>
      <c r="T38" s="40">
        <f>S38*ventilation!$D$5</f>
        <v>883.0095703817917</v>
      </c>
    </row>
    <row r="39" spans="1:20" ht="36.75" customHeight="1">
      <c r="A39" s="39">
        <f t="shared" si="12"/>
        <v>34</v>
      </c>
      <c r="B39" s="39">
        <f>0.622*ventilation!E52/100*(532.183+54.2284*ventilation!$D52+2.0548*ventilation!$D52^2)/(101325-ventilation!E52/100*(532.183+54.2284*ventilation!$D52+2.0548*ventilation!$D52^2))*1000</f>
        <v>10.480466779709785</v>
      </c>
      <c r="C39" s="47">
        <f>ventilation!$D$4*EXP((0.20821682/0.042921358)*(1-EXP(-0.042921358*ventilation!C52)))</f>
        <v>1576.8671854753907</v>
      </c>
      <c r="D39" s="48">
        <f>(ventilation!$D$4/44)*(-1.6528+10.3794*ventilation!C52)/24</f>
        <v>12.911643939393938</v>
      </c>
      <c r="E39" s="48">
        <f t="shared" si="0"/>
        <v>48.95565748438942</v>
      </c>
      <c r="F39" s="48">
        <f t="shared" si="1"/>
        <v>31.610609483522722</v>
      </c>
      <c r="G39" s="48">
        <f t="shared" si="2"/>
        <v>8.78072485653409</v>
      </c>
      <c r="H39" s="48">
        <f t="shared" si="3"/>
        <v>17.345048000866697</v>
      </c>
      <c r="I39" s="48">
        <f t="shared" si="4"/>
        <v>2.270407288744496</v>
      </c>
      <c r="J39" s="44">
        <f>I39*44/22.4/(ventilation!$D$12-ventilation!$D$11)*1000</f>
        <v>1.6517513344040646</v>
      </c>
      <c r="K39" s="49">
        <f t="shared" si="10"/>
        <v>1.047489192253118</v>
      </c>
      <c r="L39" s="44">
        <f>($H39*1000-ventilation!$D$13*(3600*data!$E$3)*(ventilation!$D52-ventilation!D$9))/(0.35*3600*(ventilation!$D52-ventilation!D$9))</f>
        <v>-9.177274074532644</v>
      </c>
      <c r="M39" s="49">
        <f t="shared" si="5"/>
        <v>-5.819941057220934</v>
      </c>
      <c r="N39" s="48">
        <f>0.622*ventilation!D$10/100*(532.183+54.2284*ventilation!D$9+2.0548*ventilation!D$9^2)/(101325-ventilation!D$10/100*(532.183+54.2284*ventilation!D$9+2.0548*ventilation!D$9^2))*1000</f>
        <v>4.52371641162175</v>
      </c>
      <c r="O39" s="44">
        <f t="shared" si="6"/>
        <v>1.8214832395194884</v>
      </c>
      <c r="P39" s="49">
        <f t="shared" si="7"/>
        <v>1.1551278739879107</v>
      </c>
      <c r="Q39" s="39" t="str">
        <f t="shared" si="8"/>
        <v>vocht</v>
      </c>
      <c r="R39" s="49">
        <f t="shared" si="11"/>
        <v>1.1551278739879107</v>
      </c>
      <c r="S39" s="44">
        <f t="shared" si="9"/>
        <v>1.8214832395194884</v>
      </c>
      <c r="T39" s="40">
        <f>S39*ventilation!$D$5</f>
        <v>910.7416197597443</v>
      </c>
    </row>
    <row r="40" spans="1:20" ht="36.75" customHeight="1">
      <c r="A40" s="39">
        <f t="shared" si="12"/>
        <v>35</v>
      </c>
      <c r="B40" s="39">
        <f>0.622*ventilation!E53/100*(532.183+54.2284*ventilation!$D53+2.0548*ventilation!$D53^2)/(101325-ventilation!E53/100*(532.183+54.2284*ventilation!$D53+2.0548*ventilation!$D53^2))*1000</f>
        <v>10.480466779709785</v>
      </c>
      <c r="C40" s="47">
        <f>ventilation!$D$4*EXP((0.20821682/0.042921358)*(1-EXP(-0.042921358*ventilation!C53)))</f>
        <v>1656.7894059797188</v>
      </c>
      <c r="D40" s="48">
        <f>(ventilation!$D$4/44)*(-1.6528+10.3794*ventilation!C53)/24</f>
        <v>13.30480303030303</v>
      </c>
      <c r="E40" s="48">
        <f t="shared" si="0"/>
        <v>50.51230392497519</v>
      </c>
      <c r="F40" s="48">
        <f t="shared" si="1"/>
        <v>32.57315139886363</v>
      </c>
      <c r="G40" s="48">
        <f t="shared" si="2"/>
        <v>9.048097610795452</v>
      </c>
      <c r="H40" s="48">
        <f t="shared" si="3"/>
        <v>17.939152526111563</v>
      </c>
      <c r="I40" s="48">
        <f t="shared" si="4"/>
        <v>2.375481032041536</v>
      </c>
      <c r="J40" s="44">
        <f>I40*44/22.4/(ventilation!$D$12-ventilation!$D$11)*1000</f>
        <v>1.7281938725169903</v>
      </c>
      <c r="K40" s="49">
        <f t="shared" si="10"/>
        <v>1.043098094591598</v>
      </c>
      <c r="L40" s="44">
        <f>($H40*1000-ventilation!$D$13*(3600*data!$E$3)*(ventilation!$D53-ventilation!D$9))/(0.35*3600*(ventilation!$D53-ventilation!D$9))</f>
        <v>-9.491615093180721</v>
      </c>
      <c r="M40" s="49">
        <f t="shared" si="5"/>
        <v>-5.728920681725382</v>
      </c>
      <c r="N40" s="48">
        <f>0.622*ventilation!D$10/100*(532.183+54.2284*ventilation!D$9+2.0548*ventilation!D$9^2)/(101325-ventilation!D$10/100*(532.183+54.2284*ventilation!D$9+2.0548*ventilation!D$9^2))*1000</f>
        <v>4.52371641162175</v>
      </c>
      <c r="O40" s="44">
        <f t="shared" si="6"/>
        <v>1.8769473382753934</v>
      </c>
      <c r="P40" s="49">
        <f t="shared" si="7"/>
        <v>1.1328822670528167</v>
      </c>
      <c r="Q40" s="39" t="str">
        <f t="shared" si="8"/>
        <v>vocht</v>
      </c>
      <c r="R40" s="49">
        <f t="shared" si="11"/>
        <v>1.1328822670528167</v>
      </c>
      <c r="S40" s="44">
        <f t="shared" si="9"/>
        <v>1.8769473382753934</v>
      </c>
      <c r="T40" s="40">
        <f>S40*ventilation!$D$5</f>
        <v>938.4736691376967</v>
      </c>
    </row>
    <row r="41" spans="1:20" ht="36.75" customHeight="1">
      <c r="A41" s="39">
        <f t="shared" si="12"/>
        <v>36</v>
      </c>
      <c r="B41" s="39">
        <f>0.622*ventilation!E54/100*(532.183+54.2284*ventilation!$D54+2.0548*ventilation!$D54^2)/(101325-ventilation!E54/100*(532.183+54.2284*ventilation!$D54+2.0548*ventilation!$D54^2))*1000</f>
        <v>10.480466779709785</v>
      </c>
      <c r="C41" s="47">
        <f>ventilation!$D$4*EXP((0.20821682/0.042921358)*(1-EXP(-0.042921358*ventilation!C54)))</f>
        <v>1737.1502572554411</v>
      </c>
      <c r="D41" s="48">
        <f>(ventilation!$D$4/44)*(-1.6528+10.3794*ventilation!C54)/24</f>
        <v>13.69796212121212</v>
      </c>
      <c r="E41" s="48">
        <f t="shared" si="0"/>
        <v>52.04995124348068</v>
      </c>
      <c r="F41" s="48">
        <f t="shared" si="1"/>
        <v>33.53569331420454</v>
      </c>
      <c r="G41" s="48">
        <f t="shared" si="2"/>
        <v>9.315470365056818</v>
      </c>
      <c r="H41" s="48">
        <f t="shared" si="3"/>
        <v>18.514257929276134</v>
      </c>
      <c r="I41" s="48">
        <f t="shared" si="4"/>
        <v>2.4811314432137284</v>
      </c>
      <c r="J41" s="44">
        <f>I41*44/22.4/(ventilation!$D$12-ventilation!$D$11)*1000</f>
        <v>1.805055944136972</v>
      </c>
      <c r="K41" s="49">
        <f t="shared" si="10"/>
        <v>1.039090278228906</v>
      </c>
      <c r="L41" s="44">
        <f>($H41*1000-ventilation!$D$13*(3600*data!$E$3)*(ventilation!$D54-ventilation!D$9))/(0.35*3600*(ventilation!$D54-ventilation!D$9))</f>
        <v>-9.795903666283667</v>
      </c>
      <c r="M41" s="49">
        <f t="shared" si="5"/>
        <v>-5.639065259536278</v>
      </c>
      <c r="N41" s="48">
        <f>0.622*ventilation!D$10/100*(532.183+54.2284*ventilation!D$9+2.0548*ventilation!D$9^2)/(101325-ventilation!D$10/100*(532.183+54.2284*ventilation!D$9+2.0548*ventilation!D$9^2))*1000</f>
        <v>4.52371641162175</v>
      </c>
      <c r="O41" s="44">
        <f t="shared" si="6"/>
        <v>1.9324114370312984</v>
      </c>
      <c r="P41" s="49">
        <f t="shared" si="7"/>
        <v>1.1124031608436418</v>
      </c>
      <c r="Q41" s="39" t="str">
        <f t="shared" si="8"/>
        <v>vocht</v>
      </c>
      <c r="R41" s="49">
        <f t="shared" si="11"/>
        <v>1.1124031608436418</v>
      </c>
      <c r="S41" s="44">
        <f t="shared" si="9"/>
        <v>1.9324114370312984</v>
      </c>
      <c r="T41" s="40">
        <f>S41*ventilation!$D$5</f>
        <v>966.2057185156492</v>
      </c>
    </row>
    <row r="42" spans="1:20" ht="36.75" customHeight="1">
      <c r="A42" s="39">
        <f t="shared" si="12"/>
        <v>37</v>
      </c>
      <c r="B42" s="39">
        <f>0.622*ventilation!E55/100*(532.183+54.2284*ventilation!$D55+2.0548*ventilation!$D55^2)/(101325-ventilation!E55/100*(532.183+54.2284*ventilation!$D55+2.0548*ventilation!$D55^2))*1000</f>
        <v>10.480466779709785</v>
      </c>
      <c r="C42" s="47">
        <f>ventilation!$D$4*EXP((0.20821682/0.042921358)*(1-EXP(-0.042921358*ventilation!C55)))</f>
        <v>1817.7880531240883</v>
      </c>
      <c r="D42" s="48">
        <f>(ventilation!$D$4/44)*(-1.6528+10.3794*ventilation!C55)/24</f>
        <v>14.09112121212121</v>
      </c>
      <c r="E42" s="48">
        <f t="shared" si="0"/>
        <v>53.56687748585229</v>
      </c>
      <c r="F42" s="48">
        <f t="shared" si="1"/>
        <v>34.49823522954545</v>
      </c>
      <c r="G42" s="48">
        <f t="shared" si="2"/>
        <v>9.58284311931818</v>
      </c>
      <c r="H42" s="48">
        <f t="shared" si="3"/>
        <v>19.068642256306838</v>
      </c>
      <c r="I42" s="48">
        <f t="shared" si="4"/>
        <v>2.5871459534422385</v>
      </c>
      <c r="J42" s="44">
        <f>I42*44/22.4/(ventilation!$D$12-ventilation!$D$11)*1000</f>
        <v>1.882182902636549</v>
      </c>
      <c r="K42" s="49">
        <f t="shared" si="10"/>
        <v>1.035424839216976</v>
      </c>
      <c r="L42" s="44">
        <f>($H42*1000-ventilation!$D$13*(3600*data!$E$3)*(ventilation!$D55-ventilation!D$9))/(0.35*3600*(ventilation!$D55-ventilation!D$9))</f>
        <v>-10.089228707040654</v>
      </c>
      <c r="M42" s="49">
        <f t="shared" si="5"/>
        <v>-5.550277816878099</v>
      </c>
      <c r="N42" s="48">
        <f>0.622*ventilation!D$10/100*(532.183+54.2284*ventilation!D$9+2.0548*ventilation!D$9^2)/(101325-ventilation!D$10/100*(532.183+54.2284*ventilation!D$9+2.0548*ventilation!D$9^2))*1000</f>
        <v>4.52371641162175</v>
      </c>
      <c r="O42" s="44">
        <f t="shared" si="6"/>
        <v>1.9878755357872033</v>
      </c>
      <c r="P42" s="49">
        <f t="shared" si="7"/>
        <v>1.0935683796418396</v>
      </c>
      <c r="Q42" s="39" t="str">
        <f t="shared" si="8"/>
        <v>vocht</v>
      </c>
      <c r="R42" s="49">
        <f t="shared" si="11"/>
        <v>1.0935683796418396</v>
      </c>
      <c r="S42" s="44">
        <f t="shared" si="9"/>
        <v>1.9878755357872033</v>
      </c>
      <c r="T42" s="40">
        <f>S42*ventilation!$D$5</f>
        <v>993.9377678936016</v>
      </c>
    </row>
    <row r="43" spans="1:20" ht="36.75" customHeight="1">
      <c r="A43" s="39">
        <f t="shared" si="12"/>
        <v>38</v>
      </c>
      <c r="B43" s="39">
        <f>0.622*ventilation!E56/100*(532.183+54.2284*ventilation!$D56+2.0548*ventilation!$D56^2)/(101325-ventilation!E56/100*(532.183+54.2284*ventilation!$D56+2.0548*ventilation!$D56^2))*1000</f>
        <v>10.480466779709785</v>
      </c>
      <c r="C43" s="47">
        <f>ventilation!$D$4*EXP((0.20821682/0.042921358)*(1-EXP(-0.042921358*ventilation!C56)))</f>
        <v>1898.5463182652243</v>
      </c>
      <c r="D43" s="48">
        <f>(ventilation!$D$4/44)*(-1.6528+10.3794*ventilation!C56)/24</f>
        <v>14.484280303030303</v>
      </c>
      <c r="E43" s="48">
        <f t="shared" si="0"/>
        <v>55.06151766397028</v>
      </c>
      <c r="F43" s="48">
        <f t="shared" si="1"/>
        <v>35.460777144886364</v>
      </c>
      <c r="G43" s="48">
        <f t="shared" si="2"/>
        <v>9.850215873579545</v>
      </c>
      <c r="H43" s="48">
        <f t="shared" si="3"/>
        <v>19.600740519083914</v>
      </c>
      <c r="I43" s="48">
        <f t="shared" si="4"/>
        <v>2.6933188446232905</v>
      </c>
      <c r="J43" s="44">
        <f>I43*44/22.4/(ventilation!$D$12-ventilation!$D$11)*1000</f>
        <v>1.959425085374087</v>
      </c>
      <c r="K43" s="49">
        <f t="shared" si="10"/>
        <v>1.0320659899224847</v>
      </c>
      <c r="L43" s="44">
        <f>($H43*1000-ventilation!$D$13*(3600*data!$E$3)*(ventilation!$D56-ventilation!D$9))/(0.35*3600*(ventilation!$D56-ventilation!D$9))</f>
        <v>-10.370762179409478</v>
      </c>
      <c r="M43" s="49">
        <f t="shared" si="5"/>
        <v>-5.462475199912767</v>
      </c>
      <c r="N43" s="48">
        <f>0.622*ventilation!D$10/100*(532.183+54.2284*ventilation!D$9+2.0548*ventilation!D$9^2)/(101325-ventilation!D$10/100*(532.183+54.2284*ventilation!D$9+2.0548*ventilation!D$9^2))*1000</f>
        <v>4.52371641162175</v>
      </c>
      <c r="O43" s="44">
        <f t="shared" si="6"/>
        <v>2.0433396345431087</v>
      </c>
      <c r="P43" s="49">
        <f t="shared" si="7"/>
        <v>1.0762653588616093</v>
      </c>
      <c r="Q43" s="39" t="str">
        <f t="shared" si="8"/>
        <v>vocht</v>
      </c>
      <c r="R43" s="49">
        <f t="shared" si="11"/>
        <v>1.0762653588616093</v>
      </c>
      <c r="S43" s="44">
        <f t="shared" si="9"/>
        <v>2.0433396345431087</v>
      </c>
      <c r="T43" s="40">
        <f>S43*ventilation!$D$5</f>
        <v>1021.6698172715544</v>
      </c>
    </row>
    <row r="44" spans="1:20" ht="36.75" customHeight="1">
      <c r="A44" s="39">
        <f t="shared" si="12"/>
        <v>39</v>
      </c>
      <c r="B44" s="39">
        <f>0.622*ventilation!E57/100*(532.183+54.2284*ventilation!$D57+2.0548*ventilation!$D57^2)/(101325-ventilation!E57/100*(532.183+54.2284*ventilation!$D57+2.0548*ventilation!$D57^2))*1000</f>
        <v>10.480466779709785</v>
      </c>
      <c r="C44" s="47">
        <f>ventilation!$D$4*EXP((0.20821682/0.042921358)*(1-EXP(-0.042921358*ventilation!C57)))</f>
        <v>1979.2744773831282</v>
      </c>
      <c r="D44" s="48">
        <f>(ventilation!$D$4/44)*(-1.6528+10.3794*ventilation!C57)/24</f>
        <v>14.877439393939396</v>
      </c>
      <c r="E44" s="48">
        <f t="shared" si="0"/>
        <v>56.5324604970673</v>
      </c>
      <c r="F44" s="48">
        <f t="shared" si="1"/>
        <v>36.42331906022727</v>
      </c>
      <c r="G44" s="48">
        <f t="shared" si="2"/>
        <v>10.117588627840908</v>
      </c>
      <c r="H44" s="48">
        <f t="shared" si="3"/>
        <v>20.109141436840027</v>
      </c>
      <c r="I44" s="48">
        <f t="shared" si="4"/>
        <v>2.7994521554155987</v>
      </c>
      <c r="J44" s="44">
        <f>I44*44/22.4/(ventilation!$D$12-ventilation!$D$11)*1000</f>
        <v>2.036638472855264</v>
      </c>
      <c r="K44" s="49">
        <f t="shared" si="10"/>
        <v>1.0289823347532772</v>
      </c>
      <c r="L44" s="44">
        <f>($H44*1000-ventilation!$D$13*(3600*data!$E$3)*(ventilation!$D57-ventilation!D$9))/(0.35*3600*(ventilation!$D57-ventilation!D$9))</f>
        <v>-10.639757373989431</v>
      </c>
      <c r="M44" s="49">
        <f t="shared" si="5"/>
        <v>-5.3755845869627175</v>
      </c>
      <c r="N44" s="48">
        <f>0.622*ventilation!D$10/100*(532.183+54.2284*ventilation!D$9+2.0548*ventilation!D$9^2)/(101325-ventilation!D$10/100*(532.183+54.2284*ventilation!D$9+2.0548*ventilation!D$9^2))*1000</f>
        <v>4.52371641162175</v>
      </c>
      <c r="O44" s="44">
        <f t="shared" si="6"/>
        <v>2.0988037332990137</v>
      </c>
      <c r="P44" s="49">
        <f t="shared" si="7"/>
        <v>1.0603904396695498</v>
      </c>
      <c r="Q44" s="39" t="str">
        <f t="shared" si="8"/>
        <v>vocht</v>
      </c>
      <c r="R44" s="49">
        <f t="shared" si="11"/>
        <v>1.0603904396695498</v>
      </c>
      <c r="S44" s="44">
        <f t="shared" si="9"/>
        <v>2.0988037332990137</v>
      </c>
      <c r="T44" s="40">
        <f>S44*ventilation!$D$5</f>
        <v>1049.401866649507</v>
      </c>
    </row>
    <row r="45" spans="1:20" ht="36.75" customHeight="1">
      <c r="A45" s="39">
        <f t="shared" si="12"/>
        <v>40</v>
      </c>
      <c r="B45" s="39">
        <f>0.622*ventilation!E58/100*(532.183+54.2284*ventilation!$D58+2.0548*ventilation!$D58^2)/(101325-ventilation!E58/100*(532.183+54.2284*ventilation!$D58+2.0548*ventilation!$D58^2))*1000</f>
        <v>10.480466779709785</v>
      </c>
      <c r="C45" s="47">
        <f>ventilation!$D$4*EXP((0.20821682/0.042921358)*(1-EXP(-0.042921358*ventilation!C58)))</f>
        <v>2059.828435559831</v>
      </c>
      <c r="D45" s="48">
        <f>(ventilation!$D$4/44)*(-1.6528+10.3794*ventilation!C58)/24</f>
        <v>15.270598484848485</v>
      </c>
      <c r="E45" s="48">
        <f t="shared" si="0"/>
        <v>57.97844434349176</v>
      </c>
      <c r="F45" s="48">
        <f t="shared" si="1"/>
        <v>37.38586097556818</v>
      </c>
      <c r="G45" s="48">
        <f t="shared" si="2"/>
        <v>10.384961382102272</v>
      </c>
      <c r="H45" s="48">
        <f t="shared" si="3"/>
        <v>20.59258336792358</v>
      </c>
      <c r="I45" s="48">
        <f t="shared" si="4"/>
        <v>2.9053564442305095</v>
      </c>
      <c r="J45" s="44">
        <f>I45*44/22.4/(ventilation!$D$12-ventilation!$D$11)*1000</f>
        <v>2.1136852438184923</v>
      </c>
      <c r="K45" s="49">
        <f t="shared" si="10"/>
        <v>1.0261462592364026</v>
      </c>
      <c r="L45" s="44">
        <f>($H45*1000-ventilation!$D$13*(3600*data!$E$3)*(ventilation!$D58-ventilation!D$9))/(0.35*3600*(ventilation!$D58-ventilation!D$9))</f>
        <v>-10.895546755515122</v>
      </c>
      <c r="M45" s="49">
        <f t="shared" si="5"/>
        <v>-5.289540899338964</v>
      </c>
      <c r="N45" s="48">
        <f>0.622*ventilation!D$10/100*(532.183+54.2284*ventilation!D$9+2.0548*ventilation!D$9^2)/(101325-ventilation!D$10/100*(532.183+54.2284*ventilation!D$9+2.0548*ventilation!D$9^2))*1000</f>
        <v>4.52371641162175</v>
      </c>
      <c r="O45" s="44">
        <f t="shared" si="6"/>
        <v>2.1542678320549187</v>
      </c>
      <c r="P45" s="49">
        <f t="shared" si="7"/>
        <v>1.0458481856375674</v>
      </c>
      <c r="Q45" s="39" t="str">
        <f t="shared" si="8"/>
        <v>vocht</v>
      </c>
      <c r="R45" s="49">
        <f t="shared" si="11"/>
        <v>1.0458481856375674</v>
      </c>
      <c r="S45" s="44">
        <f t="shared" si="9"/>
        <v>2.1542678320549187</v>
      </c>
      <c r="T45" s="40">
        <f>S45*ventilation!$D$5</f>
        <v>1077.1339160274592</v>
      </c>
    </row>
    <row r="46" spans="1:20" ht="36.75" customHeight="1">
      <c r="A46" s="39">
        <f t="shared" si="12"/>
        <v>41</v>
      </c>
      <c r="B46" s="39">
        <f>0.622*ventilation!E59/100*(532.183+54.2284*ventilation!$D59+2.0548*ventilation!$D59^2)/(101325-ventilation!E59/100*(532.183+54.2284*ventilation!$D59+2.0548*ventilation!$D59^2))*1000</f>
        <v>10.480466779709785</v>
      </c>
      <c r="C46" s="47">
        <f>ventilation!$D$4*EXP((0.20821682/0.042921358)*(1-EXP(-0.042921358*ventilation!C59)))</f>
        <v>2140.071053937527</v>
      </c>
      <c r="D46" s="48">
        <f>(ventilation!$D$4/44)*(-1.6528+10.3794*ventilation!C59)/24</f>
        <v>15.663757575757577</v>
      </c>
      <c r="E46" s="48">
        <f t="shared" si="0"/>
        <v>59.39835244916252</v>
      </c>
      <c r="F46" s="48">
        <f t="shared" si="1"/>
        <v>38.34840289090909</v>
      </c>
      <c r="G46" s="48">
        <f t="shared" si="2"/>
        <v>10.652334136363637</v>
      </c>
      <c r="H46" s="48">
        <f t="shared" si="3"/>
        <v>21.04994955825343</v>
      </c>
      <c r="I46" s="48">
        <f t="shared" si="4"/>
        <v>3.0108514146116665</v>
      </c>
      <c r="J46" s="44">
        <f>I46*44/22.4/(ventilation!$D$12-ventilation!$D$11)*1000</f>
        <v>2.1904342302069004</v>
      </c>
      <c r="K46" s="49">
        <f t="shared" si="10"/>
        <v>1.023533413143788</v>
      </c>
      <c r="L46" s="44">
        <f>($H46*1000-ventilation!$D$13*(3600*data!$E$3)*(ventilation!$D59-ventilation!D$9))/(0.35*3600*(ventilation!$D59-ventilation!D$9))</f>
        <v>-11.137539448811339</v>
      </c>
      <c r="M46" s="49">
        <f t="shared" si="5"/>
        <v>-5.204284889662578</v>
      </c>
      <c r="N46" s="48">
        <f>0.622*ventilation!D$10/100*(532.183+54.2284*ventilation!D$9+2.0548*ventilation!D$9^2)/(101325-ventilation!D$10/100*(532.183+54.2284*ventilation!D$9+2.0548*ventilation!D$9^2))*1000</f>
        <v>4.52371641162175</v>
      </c>
      <c r="O46" s="44">
        <f t="shared" si="6"/>
        <v>2.209731930810824</v>
      </c>
      <c r="P46" s="49">
        <f t="shared" si="7"/>
        <v>1.0325507308484585</v>
      </c>
      <c r="Q46" s="39" t="str">
        <f t="shared" si="8"/>
        <v>vocht</v>
      </c>
      <c r="R46" s="49">
        <f t="shared" si="11"/>
        <v>1.0325507308484585</v>
      </c>
      <c r="S46" s="44">
        <f t="shared" si="9"/>
        <v>2.209731930810824</v>
      </c>
      <c r="T46" s="40">
        <f>S46*ventilation!$D$5</f>
        <v>1104.865965405412</v>
      </c>
    </row>
    <row r="47" spans="1:20" ht="36.75" customHeight="1">
      <c r="A47" s="39">
        <f t="shared" si="12"/>
        <v>42</v>
      </c>
      <c r="B47" s="39">
        <f>0.622*ventilation!E60/100*(532.183+54.2284*ventilation!$D60+2.0548*ventilation!$D60^2)/(101325-ventilation!E60/100*(532.183+54.2284*ventilation!$D60+2.0548*ventilation!$D60^2))*1000</f>
        <v>10.480466779709785</v>
      </c>
      <c r="C47" s="47">
        <f>ventilation!$D$4*EXP((0.20821682/0.042921358)*(1-EXP(-0.042921358*ventilation!C60)))</f>
        <v>2219.8725259117737</v>
      </c>
      <c r="D47" s="48">
        <f>(ventilation!$D$4/44)*(-1.6528+10.3794*ventilation!C60)/24</f>
        <v>16.056916666666666</v>
      </c>
      <c r="E47" s="48">
        <f t="shared" si="0"/>
        <v>60.791207631201125</v>
      </c>
      <c r="F47" s="48">
        <f t="shared" si="1"/>
        <v>39.31094480624999</v>
      </c>
      <c r="G47" s="48">
        <f t="shared" si="2"/>
        <v>10.919706890624997</v>
      </c>
      <c r="H47" s="48">
        <f t="shared" si="3"/>
        <v>21.480262824951133</v>
      </c>
      <c r="I47" s="48">
        <f t="shared" si="4"/>
        <v>3.115766409816209</v>
      </c>
      <c r="J47" s="44">
        <f>I47*44/22.4/(ventilation!$D$12-ventilation!$D$11)*1000</f>
        <v>2.2667612769826917</v>
      </c>
      <c r="K47" s="49">
        <f t="shared" si="10"/>
        <v>1.0211222718978692</v>
      </c>
      <c r="L47" s="44">
        <f>($H47*1000-ventilation!$D$13*(3600*data!$E$3)*(ventilation!$D60-ventilation!D$9))/(0.35*3600*(ventilation!$D60-ventilation!D$9))</f>
        <v>-11.36521842590007</v>
      </c>
      <c r="M47" s="49">
        <f t="shared" si="5"/>
        <v>-5.119761740026943</v>
      </c>
      <c r="N47" s="48">
        <f>0.622*ventilation!D$10/100*(532.183+54.2284*ventilation!D$9+2.0548*ventilation!D$9^2)/(101325-ventilation!D$10/100*(532.183+54.2284*ventilation!D$9+2.0548*ventilation!D$9^2))*1000</f>
        <v>4.52371641162175</v>
      </c>
      <c r="O47" s="44">
        <f t="shared" si="6"/>
        <v>2.2651960295667286</v>
      </c>
      <c r="P47" s="49">
        <f t="shared" si="7"/>
        <v>1.0204171650065081</v>
      </c>
      <c r="Q47" s="39" t="str">
        <f t="shared" si="8"/>
        <v>co2</v>
      </c>
      <c r="R47" s="49">
        <f t="shared" si="11"/>
        <v>1.0211222718978692</v>
      </c>
      <c r="S47" s="44">
        <f t="shared" si="9"/>
        <v>2.2667612769826917</v>
      </c>
      <c r="T47" s="40">
        <f>S47*ventilation!$D$5</f>
        <v>1133.380638491346</v>
      </c>
    </row>
    <row r="48" spans="1:20" ht="36.75" customHeight="1">
      <c r="A48" s="39">
        <f t="shared" si="12"/>
        <v>43</v>
      </c>
      <c r="B48" s="39">
        <f>0.622*ventilation!E61/100*(532.183+54.2284*ventilation!$D61+2.0548*ventilation!$D61^2)/(101325-ventilation!E61/100*(532.183+54.2284*ventilation!$D61+2.0548*ventilation!$D61^2))*1000</f>
        <v>10.480466779709785</v>
      </c>
      <c r="C48" s="47">
        <f>ventilation!$D$4*EXP((0.20821682/0.042921358)*(1-EXP(-0.042921358*ventilation!C61)))</f>
        <v>2299.110659820501</v>
      </c>
      <c r="D48" s="48">
        <f>(ventilation!$D$4/44)*(-1.6528+10.3794*ventilation!C61)/24</f>
        <v>16.450075757575757</v>
      </c>
      <c r="E48" s="48">
        <f t="shared" si="0"/>
        <v>62.15616650679074</v>
      </c>
      <c r="F48" s="48">
        <f t="shared" si="1"/>
        <v>40.2734867215909</v>
      </c>
      <c r="G48" s="48">
        <f t="shared" si="2"/>
        <v>11.18707964488636</v>
      </c>
      <c r="H48" s="48">
        <f t="shared" si="3"/>
        <v>21.88267978519984</v>
      </c>
      <c r="I48" s="48">
        <f t="shared" si="4"/>
        <v>3.2199407844660124</v>
      </c>
      <c r="J48" s="44">
        <f>I48*44/22.4/(ventilation!$D$12-ventilation!$D$11)*1000</f>
        <v>2.3425495125083424</v>
      </c>
      <c r="K48" s="49">
        <f t="shared" si="10"/>
        <v>1.0188937633350945</v>
      </c>
      <c r="L48" s="44">
        <f>($H48*1000-ventilation!$D$13*(3600*data!$E$3)*(ventilation!$D61-ventilation!D$9))/(0.35*3600*(ventilation!$D61-ventilation!D$9))</f>
        <v>-11.578137452486688</v>
      </c>
      <c r="M48" s="49">
        <f t="shared" si="5"/>
        <v>-5.035920042835445</v>
      </c>
      <c r="N48" s="48">
        <f>0.622*ventilation!D$10/100*(532.183+54.2284*ventilation!D$9+2.0548*ventilation!D$9^2)/(101325-ventilation!D$10/100*(532.183+54.2284*ventilation!D$9+2.0548*ventilation!D$9^2))*1000</f>
        <v>4.52371641162175</v>
      </c>
      <c r="O48" s="44">
        <f t="shared" si="6"/>
        <v>2.3206601283226336</v>
      </c>
      <c r="P48" s="49">
        <f t="shared" si="7"/>
        <v>1.0093729583698312</v>
      </c>
      <c r="Q48" s="39" t="str">
        <f t="shared" si="8"/>
        <v>co2</v>
      </c>
      <c r="R48" s="49">
        <f t="shared" si="11"/>
        <v>1.0188937633350945</v>
      </c>
      <c r="S48" s="44">
        <f t="shared" si="9"/>
        <v>2.3425495125083424</v>
      </c>
      <c r="T48" s="40">
        <f>S48*ventilation!$D$5</f>
        <v>1171.2747562541713</v>
      </c>
    </row>
    <row r="52" spans="1:17" ht="36.75" customHeight="1">
      <c r="A52" s="45" t="s">
        <v>0</v>
      </c>
      <c r="B52" s="45" t="s">
        <v>1</v>
      </c>
      <c r="C52" s="45" t="s">
        <v>2</v>
      </c>
      <c r="D52" s="45" t="s">
        <v>3</v>
      </c>
      <c r="F52" s="45" t="s">
        <v>4</v>
      </c>
      <c r="G52" s="45" t="s">
        <v>5</v>
      </c>
      <c r="H52" s="45" t="s">
        <v>6</v>
      </c>
      <c r="I52" s="45" t="s">
        <v>7</v>
      </c>
      <c r="J52" s="45" t="s">
        <v>8</v>
      </c>
      <c r="K52" s="45" t="s">
        <v>9</v>
      </c>
      <c r="L52" s="45"/>
      <c r="M52" s="45" t="s">
        <v>10</v>
      </c>
      <c r="N52" s="45" t="s">
        <v>11</v>
      </c>
      <c r="O52" s="45"/>
      <c r="P52" s="45" t="s">
        <v>12</v>
      </c>
      <c r="Q52" s="45" t="s">
        <v>13</v>
      </c>
    </row>
    <row r="53" spans="1:19" ht="36.75" customHeight="1">
      <c r="A53" s="45"/>
      <c r="B53" s="39">
        <v>100</v>
      </c>
      <c r="C53" s="39"/>
      <c r="F53" s="50"/>
      <c r="G53" s="50">
        <v>0.3</v>
      </c>
      <c r="H53" s="51"/>
      <c r="I53" s="51">
        <f aca="true" t="shared" si="13" ref="I53:I59">G53/B53*1000</f>
        <v>3</v>
      </c>
      <c r="P53" s="45"/>
      <c r="Q53" s="45"/>
      <c r="R53" s="45"/>
      <c r="S53" s="45"/>
    </row>
    <row r="54" spans="1:17" ht="36.75" customHeight="1">
      <c r="A54" s="39">
        <v>9</v>
      </c>
      <c r="B54" s="39">
        <v>161</v>
      </c>
      <c r="C54" s="39">
        <v>256</v>
      </c>
      <c r="D54" s="39">
        <v>11.6</v>
      </c>
      <c r="F54" s="52">
        <f aca="true" t="shared" si="14" ref="F54:G59">C54/24</f>
        <v>10.666666666666666</v>
      </c>
      <c r="G54" s="52">
        <f t="shared" si="14"/>
        <v>0.48333333333333334</v>
      </c>
      <c r="H54" s="51">
        <f aca="true" t="shared" si="15" ref="H54:H59">F54/B54*1000</f>
        <v>66.25258799171841</v>
      </c>
      <c r="I54" s="51">
        <f t="shared" si="13"/>
        <v>3.002070393374741</v>
      </c>
      <c r="J54" s="53">
        <f aca="true" t="shared" si="16" ref="J54:J59">C54/24</f>
        <v>10.666666666666666</v>
      </c>
      <c r="K54" s="48">
        <f aca="true" t="shared" si="17" ref="K54:K59">D54/24*44/22.4</f>
        <v>0.949404761904762</v>
      </c>
      <c r="M54" s="48">
        <f aca="true" t="shared" si="18" ref="M54:M59">J54*1000/60/60</f>
        <v>2.962962962962963</v>
      </c>
      <c r="N54" s="54">
        <f aca="true" t="shared" si="19" ref="N54:N59">K54/60/60</f>
        <v>0.000263723544973545</v>
      </c>
      <c r="P54" s="48">
        <f aca="true" t="shared" si="20" ref="P54:P59">K54/(3-0.003)</f>
        <v>0.31678503900726124</v>
      </c>
      <c r="Q54" s="48">
        <f aca="true" t="shared" si="21" ref="Q54:Q59">P54/B54*1000</f>
        <v>1.9676089379332997</v>
      </c>
    </row>
    <row r="55" spans="1:17" ht="36.75" customHeight="1">
      <c r="A55" s="39">
        <v>15</v>
      </c>
      <c r="B55" s="39">
        <v>330</v>
      </c>
      <c r="C55" s="39">
        <v>592</v>
      </c>
      <c r="D55" s="39">
        <v>26.8</v>
      </c>
      <c r="F55" s="52">
        <f t="shared" si="14"/>
        <v>24.666666666666668</v>
      </c>
      <c r="G55" s="52">
        <f t="shared" si="14"/>
        <v>1.1166666666666667</v>
      </c>
      <c r="H55" s="51">
        <f t="shared" si="15"/>
        <v>74.74747474747475</v>
      </c>
      <c r="I55" s="51">
        <f t="shared" si="13"/>
        <v>3.383838383838384</v>
      </c>
      <c r="J55" s="53">
        <f t="shared" si="16"/>
        <v>24.666666666666668</v>
      </c>
      <c r="K55" s="48">
        <f t="shared" si="17"/>
        <v>2.193452380952381</v>
      </c>
      <c r="M55" s="48">
        <f t="shared" si="18"/>
        <v>6.851851851851852</v>
      </c>
      <c r="N55" s="54">
        <f t="shared" si="19"/>
        <v>0.0006092923280423281</v>
      </c>
      <c r="P55" s="48">
        <f t="shared" si="20"/>
        <v>0.7318826763271208</v>
      </c>
      <c r="Q55" s="48">
        <f t="shared" si="21"/>
        <v>2.2178262919003657</v>
      </c>
    </row>
    <row r="56" spans="1:17" ht="36.75" customHeight="1">
      <c r="A56" s="39">
        <v>20</v>
      </c>
      <c r="B56" s="39">
        <v>570</v>
      </c>
      <c r="C56" s="39">
        <v>700</v>
      </c>
      <c r="D56" s="39">
        <v>31.75</v>
      </c>
      <c r="F56" s="52">
        <f t="shared" si="14"/>
        <v>29.166666666666668</v>
      </c>
      <c r="G56" s="52">
        <f t="shared" si="14"/>
        <v>1.3229166666666667</v>
      </c>
      <c r="H56" s="51">
        <f t="shared" si="15"/>
        <v>51.16959064327486</v>
      </c>
      <c r="I56" s="51">
        <f t="shared" si="13"/>
        <v>2.3209064327485383</v>
      </c>
      <c r="J56" s="53">
        <f t="shared" si="16"/>
        <v>29.166666666666668</v>
      </c>
      <c r="K56" s="48">
        <f t="shared" si="17"/>
        <v>2.5985863095238098</v>
      </c>
      <c r="M56" s="48">
        <f t="shared" si="18"/>
        <v>8.101851851851853</v>
      </c>
      <c r="N56" s="54">
        <f t="shared" si="19"/>
        <v>0.0007218295304232805</v>
      </c>
      <c r="P56" s="48">
        <f t="shared" si="20"/>
        <v>0.8670624990069435</v>
      </c>
      <c r="Q56" s="48">
        <f t="shared" si="21"/>
        <v>1.52116227895955</v>
      </c>
    </row>
    <row r="57" spans="1:17" ht="36.75" customHeight="1">
      <c r="A57" s="39">
        <v>27</v>
      </c>
      <c r="B57" s="39">
        <v>786</v>
      </c>
      <c r="C57" s="39">
        <v>914</v>
      </c>
      <c r="D57" s="39">
        <v>41.4</v>
      </c>
      <c r="F57" s="52">
        <f t="shared" si="14"/>
        <v>38.083333333333336</v>
      </c>
      <c r="G57" s="52">
        <f t="shared" si="14"/>
        <v>1.7249999999999999</v>
      </c>
      <c r="H57" s="51">
        <f t="shared" si="15"/>
        <v>48.45207803223071</v>
      </c>
      <c r="I57" s="51">
        <f t="shared" si="13"/>
        <v>2.194656488549618</v>
      </c>
      <c r="J57" s="53">
        <f t="shared" si="16"/>
        <v>38.083333333333336</v>
      </c>
      <c r="K57" s="48">
        <f t="shared" si="17"/>
        <v>3.3883928571428568</v>
      </c>
      <c r="M57" s="48">
        <f t="shared" si="18"/>
        <v>10.578703703703704</v>
      </c>
      <c r="N57" s="54">
        <f t="shared" si="19"/>
        <v>0.000941220238095238</v>
      </c>
      <c r="P57" s="48">
        <f t="shared" si="20"/>
        <v>1.1305948805948804</v>
      </c>
      <c r="Q57" s="48">
        <f t="shared" si="21"/>
        <v>1.4384158786194408</v>
      </c>
    </row>
    <row r="58" spans="1:17" ht="36.75" customHeight="1">
      <c r="A58" s="39">
        <v>35</v>
      </c>
      <c r="B58" s="39">
        <v>1332</v>
      </c>
      <c r="C58" s="39">
        <v>1000</v>
      </c>
      <c r="D58" s="39">
        <v>45.3</v>
      </c>
      <c r="F58" s="52">
        <f t="shared" si="14"/>
        <v>41.666666666666664</v>
      </c>
      <c r="G58" s="52">
        <f t="shared" si="14"/>
        <v>1.8875</v>
      </c>
      <c r="H58" s="51">
        <f t="shared" si="15"/>
        <v>31.281281281281277</v>
      </c>
      <c r="I58" s="51">
        <f t="shared" si="13"/>
        <v>1.417042042042042</v>
      </c>
      <c r="J58" s="53">
        <f t="shared" si="16"/>
        <v>41.666666666666664</v>
      </c>
      <c r="K58" s="48">
        <f t="shared" si="17"/>
        <v>3.707589285714286</v>
      </c>
      <c r="M58" s="48">
        <f t="shared" si="18"/>
        <v>11.574074074074074</v>
      </c>
      <c r="N58" s="54">
        <f t="shared" si="19"/>
        <v>0.0010298859126984126</v>
      </c>
      <c r="P58" s="48">
        <f t="shared" si="20"/>
        <v>1.237100195433529</v>
      </c>
      <c r="Q58" s="48">
        <f t="shared" si="21"/>
        <v>0.9287539004756223</v>
      </c>
    </row>
    <row r="59" spans="1:17" ht="36.75" customHeight="1">
      <c r="A59" s="39">
        <v>44</v>
      </c>
      <c r="B59" s="39">
        <v>2023</v>
      </c>
      <c r="C59" s="39">
        <v>1504</v>
      </c>
      <c r="D59" s="39">
        <v>68.2</v>
      </c>
      <c r="F59" s="52">
        <f t="shared" si="14"/>
        <v>62.666666666666664</v>
      </c>
      <c r="G59" s="52">
        <f t="shared" si="14"/>
        <v>2.841666666666667</v>
      </c>
      <c r="H59" s="51">
        <f t="shared" si="15"/>
        <v>30.977096721041356</v>
      </c>
      <c r="I59" s="51">
        <f t="shared" si="13"/>
        <v>1.40467951886637</v>
      </c>
      <c r="J59" s="53">
        <f t="shared" si="16"/>
        <v>62.666666666666664</v>
      </c>
      <c r="K59" s="48">
        <f t="shared" si="17"/>
        <v>5.581845238095238</v>
      </c>
      <c r="M59" s="48">
        <f t="shared" si="18"/>
        <v>17.407407407407405</v>
      </c>
      <c r="N59" s="54">
        <f t="shared" si="19"/>
        <v>0.0015505125661375663</v>
      </c>
      <c r="P59" s="48">
        <f t="shared" si="20"/>
        <v>1.8624775569220013</v>
      </c>
      <c r="Q59" s="48">
        <f t="shared" si="21"/>
        <v>0.9206512886416219</v>
      </c>
    </row>
    <row r="60" spans="3:17" ht="36.75" customHeight="1">
      <c r="C60" s="39"/>
      <c r="Q60" s="48"/>
    </row>
    <row r="61" spans="1:10" ht="36.75" customHeight="1">
      <c r="A61" s="39" t="s">
        <v>14</v>
      </c>
      <c r="C61" s="39"/>
      <c r="J61" s="39" t="s">
        <v>15</v>
      </c>
    </row>
    <row r="62" spans="1:16" ht="36.75" customHeight="1">
      <c r="A62" s="39" t="s">
        <v>16</v>
      </c>
      <c r="C62" s="39"/>
      <c r="J62" s="39" t="s">
        <v>17</v>
      </c>
      <c r="P62" s="39" t="s">
        <v>18</v>
      </c>
    </row>
    <row r="63" spans="3:16" ht="36.75" customHeight="1">
      <c r="C63" s="39"/>
      <c r="P63" s="39" t="s">
        <v>19</v>
      </c>
    </row>
    <row r="64" ht="36.75" customHeight="1">
      <c r="C64" s="39"/>
    </row>
  </sheetData>
  <sheetProtection password="9986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Provinciale Dienst voor Land-</dc:creator>
  <cp:keywords/>
  <dc:description/>
  <cp:lastModifiedBy>Lourens, Sander</cp:lastModifiedBy>
  <cp:lastPrinted>2017-07-14T11:58:45Z</cp:lastPrinted>
  <dcterms:created xsi:type="dcterms:W3CDTF">2004-03-02T14:40:20Z</dcterms:created>
  <dcterms:modified xsi:type="dcterms:W3CDTF">2020-09-01T08:54:09Z</dcterms:modified>
  <cp:category/>
  <cp:version/>
  <cp:contentType/>
  <cp:contentStatus/>
</cp:coreProperties>
</file>